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2.xml" ContentType="application/vnd.openxmlformats-officedocument.spreadsheetml.pivotTable+xml"/>
  <Override PartName="/xl/drawings/drawing5.xml" ContentType="application/vnd.openxmlformats-officedocument.drawing+xml"/>
  <Override PartName="/xl/slicers/slicer2.xml" ContentType="application/vnd.ms-excel.slicer+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3.xml" ContentType="application/vnd.openxmlformats-officedocument.spreadsheetml.pivotTable+xml"/>
  <Override PartName="/xl/drawings/drawing7.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8.xml" ContentType="application/vnd.openxmlformats-officedocument.drawing+xml"/>
  <Override PartName="/xl/slicers/slicer4.xml" ContentType="application/vnd.ms-excel.slicer+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5.xml" ContentType="application/vnd.openxmlformats-officedocument.spreadsheetml.pivotTable+xml"/>
  <Override PartName="/xl/drawings/drawing10.xml" ContentType="application/vnd.openxmlformats-officedocument.drawing+xml"/>
  <Override PartName="/xl/slicers/slicer5.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slicers/slicer6.xml" ContentType="application/vnd.ms-excel.slicer+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slicers/slicer7.xml" ContentType="application/vnd.ms-excel.slicer+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202300"/>
  <mc:AlternateContent xmlns:mc="http://schemas.openxmlformats.org/markup-compatibility/2006">
    <mc:Choice Requires="x15">
      <x15ac:absPath xmlns:x15ac="http://schemas.microsoft.com/office/spreadsheetml/2010/11/ac" url="C:\Users\icarvalho\Desktop\Temp\"/>
    </mc:Choice>
  </mc:AlternateContent>
  <xr:revisionPtr revIDLastSave="0" documentId="13_ncr:1_{3AFF97B0-FED9-4AF5-96CB-A4F3202E9F4E}" xr6:coauthVersionLast="47" xr6:coauthVersionMax="47" xr10:uidLastSave="{00000000-0000-0000-0000-000000000000}"/>
  <bookViews>
    <workbookView xWindow="33720" yWindow="1770" windowWidth="29040" windowHeight="15720" tabRatio="228" firstSheet="15" activeTab="15" xr2:uid="{E32E98DC-5AF4-46EE-A972-79BB6BC23E48}"/>
  </bookViews>
  <sheets>
    <sheet name="Assets &amp; Liabilities Data" sheetId="1" state="hidden" r:id="rId1"/>
    <sheet name="PV A &amp; L" sheetId="39" state="hidden" r:id="rId2"/>
    <sheet name="Net Assets" sheetId="4" state="hidden" r:id="rId3"/>
    <sheet name="Revenue Data" sheetId="6" state="hidden" r:id="rId4"/>
    <sheet name="Revenue PV" sheetId="28" state="hidden" r:id="rId5"/>
    <sheet name="Expenses Data" sheetId="9" state="hidden" r:id="rId6"/>
    <sheet name="Expenses PV" sheetId="29" state="hidden" r:id="rId7"/>
    <sheet name="Rev and Expenses by Division" sheetId="33" state="hidden" r:id="rId8"/>
    <sheet name="Rev and Exp PV" sheetId="35" state="hidden" r:id="rId9"/>
    <sheet name="Admin Ratio" sheetId="12" state="hidden" r:id="rId10"/>
    <sheet name="Cash Analysis" sheetId="13" state="hidden" r:id="rId11"/>
    <sheet name="Pv Cash" sheetId="32" state="hidden" r:id="rId12"/>
    <sheet name="Months of Unrestricted Cash" sheetId="26" state="hidden" r:id="rId13"/>
    <sheet name="Luna Analysis" sheetId="17" state="hidden" r:id="rId14"/>
    <sheet name="Expenses Data Luna" sheetId="18" state="hidden" r:id="rId15"/>
    <sheet name="Dashboard" sheetId="2" r:id="rId16"/>
  </sheets>
  <definedNames>
    <definedName name="Slicer_Category">#N/A</definedName>
    <definedName name="Slicer_Category1">#N/A</definedName>
    <definedName name="Slicer_Division">#N/A</definedName>
    <definedName name="Slicer_Service_Area1">#N/A</definedName>
    <definedName name="Slicer_Total_Revenue">#N/A</definedName>
  </definedNames>
  <calcPr calcId="191029"/>
  <pivotCaches>
    <pivotCache cacheId="0" r:id="rId17"/>
    <pivotCache cacheId="1" r:id="rId18"/>
    <pivotCache cacheId="2" r:id="rId19"/>
    <pivotCache cacheId="3" r:id="rId20"/>
    <pivotCache cacheId="4" r:id="rId21"/>
  </pivotCaches>
  <extLst>
    <ext xmlns:x14="http://schemas.microsoft.com/office/spreadsheetml/2009/9/main" uri="{BBE1A952-AA13-448e-AADC-164F8A28A991}">
      <x14:slicerCaches>
        <x14:slicerCache r:id="rId22"/>
        <x14:slicerCache r:id="rId23"/>
        <x14:slicerCache r:id="rId24"/>
        <x14:slicerCache r:id="rId25"/>
        <x14:slicerCache r:id="rId2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9" l="1"/>
  <c r="C13" i="39"/>
  <c r="D13" i="39"/>
  <c r="E13" i="39"/>
  <c r="F13" i="39"/>
  <c r="G13" i="39"/>
  <c r="H13" i="39"/>
  <c r="I13" i="39"/>
  <c r="J13" i="39"/>
  <c r="K13" i="39"/>
  <c r="L13" i="39"/>
  <c r="M13" i="39"/>
  <c r="A13" i="39"/>
  <c r="P40" i="2"/>
  <c r="P38" i="2"/>
  <c r="P35" i="2"/>
  <c r="M8" i="39"/>
  <c r="M9" i="39" l="1"/>
  <c r="N8" i="39"/>
  <c r="D11" i="12"/>
  <c r="D8" i="12"/>
  <c r="D12" i="12" s="1"/>
  <c r="C8" i="12"/>
  <c r="C12" i="12" s="1"/>
  <c r="B8" i="12"/>
  <c r="B12" i="12" s="1"/>
  <c r="D4" i="12"/>
  <c r="C4" i="12"/>
  <c r="C11" i="12" s="1"/>
  <c r="B4" i="12"/>
  <c r="B11" i="12" s="1"/>
  <c r="C38" i="1"/>
  <c r="D38" i="1"/>
  <c r="E38" i="1"/>
  <c r="F38" i="1"/>
  <c r="G38" i="1"/>
  <c r="H38" i="1"/>
  <c r="I38" i="1"/>
  <c r="J38" i="1"/>
  <c r="K38" i="1"/>
  <c r="L38" i="1"/>
  <c r="M38" i="1"/>
  <c r="B38" i="1"/>
  <c r="C39" i="1"/>
  <c r="D39" i="1"/>
  <c r="E39" i="1"/>
  <c r="F39" i="1"/>
  <c r="G39" i="1"/>
  <c r="H39" i="1"/>
  <c r="I39" i="1"/>
  <c r="J39" i="1"/>
  <c r="K39" i="1"/>
  <c r="L39" i="1"/>
  <c r="M39" i="1"/>
  <c r="B39" i="1"/>
  <c r="C37" i="1"/>
  <c r="D37" i="1"/>
  <c r="E37" i="1"/>
  <c r="F37" i="1"/>
  <c r="G37" i="1"/>
  <c r="H37" i="1"/>
  <c r="I37" i="1"/>
  <c r="J37" i="1"/>
  <c r="K37" i="1"/>
  <c r="L37" i="1"/>
  <c r="M37" i="1"/>
  <c r="B37" i="1"/>
  <c r="B4" i="4"/>
  <c r="M33" i="1"/>
  <c r="L33" i="1"/>
  <c r="K33" i="1"/>
  <c r="J33" i="1"/>
  <c r="I33" i="1"/>
  <c r="H33" i="1"/>
  <c r="G33" i="1"/>
  <c r="F33" i="1"/>
  <c r="E33" i="1"/>
  <c r="D33" i="1"/>
  <c r="C33" i="1"/>
  <c r="B33" i="1"/>
  <c r="M31" i="1"/>
  <c r="M35" i="1" s="1"/>
  <c r="L31" i="1"/>
  <c r="L35" i="1" s="1"/>
  <c r="K31" i="1"/>
  <c r="K35" i="1" s="1"/>
  <c r="J31" i="1"/>
  <c r="J35" i="1" s="1"/>
  <c r="I31" i="1"/>
  <c r="I35" i="1" s="1"/>
  <c r="H31" i="1"/>
  <c r="H35" i="1" s="1"/>
  <c r="G31" i="1"/>
  <c r="G35" i="1" s="1"/>
  <c r="F31" i="1"/>
  <c r="F35" i="1" s="1"/>
  <c r="E31" i="1"/>
  <c r="E35" i="1" s="1"/>
  <c r="D31" i="1"/>
  <c r="D35" i="1" s="1"/>
  <c r="C31" i="1"/>
  <c r="C35" i="1" s="1"/>
  <c r="B31" i="1"/>
  <c r="B35" i="1" s="1"/>
  <c r="M30" i="1"/>
  <c r="E16" i="33"/>
  <c r="E17" i="33"/>
  <c r="E15" i="33"/>
  <c r="C22" i="33"/>
  <c r="C23" i="33"/>
  <c r="C24" i="33"/>
  <c r="C25" i="33"/>
  <c r="C26" i="33"/>
  <c r="C21" i="33"/>
  <c r="C17" i="33"/>
  <c r="C18" i="33" s="1"/>
  <c r="D17" i="33"/>
  <c r="D18" i="33" s="1"/>
  <c r="D16" i="33"/>
  <c r="D15" i="33"/>
  <c r="C15" i="33"/>
  <c r="C16" i="33"/>
  <c r="C14" i="33"/>
  <c r="C13" i="33"/>
  <c r="C12" i="33"/>
  <c r="C5" i="33"/>
  <c r="B5" i="33"/>
  <c r="B4" i="33"/>
  <c r="C3" i="33"/>
  <c r="C6" i="33" s="1"/>
  <c r="B3" i="33"/>
  <c r="B6" i="33" s="1"/>
  <c r="I13" i="26"/>
  <c r="I12" i="26"/>
  <c r="I11" i="26"/>
  <c r="I10" i="26"/>
  <c r="I9" i="26"/>
  <c r="I8" i="26"/>
  <c r="I7" i="26"/>
  <c r="I6" i="26"/>
  <c r="I5" i="26"/>
  <c r="I4" i="26"/>
  <c r="I3" i="26"/>
  <c r="I2" i="26"/>
  <c r="C25" i="17"/>
  <c r="F25" i="17"/>
  <c r="H25" i="17"/>
  <c r="I25" i="17"/>
  <c r="J25" i="17"/>
  <c r="K25" i="17"/>
  <c r="C10" i="17"/>
  <c r="D10" i="17"/>
  <c r="D25" i="17" s="1"/>
  <c r="E10" i="17"/>
  <c r="E25" i="17" s="1"/>
  <c r="F10" i="17"/>
  <c r="G10" i="17"/>
  <c r="G25" i="17" s="1"/>
  <c r="H10" i="17"/>
  <c r="I10" i="17"/>
  <c r="J10" i="17"/>
  <c r="K10" i="17"/>
  <c r="L10" i="17"/>
  <c r="L25" i="17" s="1"/>
  <c r="M10" i="17"/>
  <c r="M25" i="17" s="1"/>
  <c r="B10" i="17"/>
  <c r="B25" i="17" s="1"/>
  <c r="A17" i="26"/>
  <c r="A18" i="26"/>
  <c r="A19" i="26"/>
  <c r="A20" i="26"/>
  <c r="A21" i="26"/>
  <c r="A22" i="26"/>
  <c r="A23" i="26"/>
  <c r="A24" i="26"/>
  <c r="A25" i="26"/>
  <c r="A26" i="26"/>
  <c r="A27" i="26"/>
  <c r="A16" i="26"/>
  <c r="G11" i="26"/>
  <c r="G6" i="26"/>
  <c r="G10" i="26"/>
  <c r="G2" i="26"/>
  <c r="G9" i="26"/>
  <c r="G3" i="26"/>
  <c r="G4" i="26"/>
  <c r="G8" i="26"/>
  <c r="G12" i="26"/>
  <c r="G13" i="26"/>
  <c r="G7" i="26"/>
  <c r="G5" i="26"/>
  <c r="B17" i="32"/>
  <c r="B11" i="35"/>
  <c r="B12" i="35"/>
  <c r="D13" i="12" l="1"/>
  <c r="D16" i="12" s="1"/>
  <c r="C13" i="12"/>
  <c r="C16" i="12" s="1"/>
  <c r="B13" i="12"/>
  <c r="B16" i="12" s="1"/>
  <c r="B17" i="12"/>
  <c r="D17" i="12"/>
  <c r="P42" i="2" s="1"/>
  <c r="B19" i="35"/>
  <c r="H9" i="26"/>
  <c r="H10" i="26"/>
  <c r="H13" i="26"/>
  <c r="H8" i="26"/>
  <c r="H11" i="26"/>
  <c r="H12" i="26"/>
  <c r="H3" i="26"/>
  <c r="H4" i="26"/>
  <c r="H5" i="26"/>
  <c r="H6" i="26"/>
  <c r="H7" i="26"/>
  <c r="H2" i="26"/>
  <c r="D28" i="13"/>
  <c r="E28" i="13"/>
  <c r="E32" i="13" s="1"/>
  <c r="F28" i="13"/>
  <c r="F32" i="13" s="1"/>
  <c r="G28" i="13"/>
  <c r="H28" i="13"/>
  <c r="I28" i="13"/>
  <c r="J28" i="13"/>
  <c r="K28" i="13"/>
  <c r="K32" i="13" s="1"/>
  <c r="L28" i="13"/>
  <c r="M28" i="13"/>
  <c r="M32" i="13" s="1"/>
  <c r="N28" i="13"/>
  <c r="N32" i="13" s="1"/>
  <c r="D29" i="13"/>
  <c r="E29" i="13"/>
  <c r="F29" i="13"/>
  <c r="G29" i="13"/>
  <c r="H29" i="13"/>
  <c r="H32" i="13" s="1"/>
  <c r="I29" i="13"/>
  <c r="J29" i="13"/>
  <c r="K29" i="13"/>
  <c r="L29" i="13"/>
  <c r="M29" i="13"/>
  <c r="N29" i="13"/>
  <c r="D30" i="13"/>
  <c r="E30" i="13"/>
  <c r="F30" i="13"/>
  <c r="G30" i="13"/>
  <c r="H30" i="13"/>
  <c r="I30" i="13"/>
  <c r="J30" i="13"/>
  <c r="K30" i="13"/>
  <c r="L30" i="13"/>
  <c r="M30" i="13"/>
  <c r="N30" i="13"/>
  <c r="D31" i="13"/>
  <c r="D32" i="13" s="1"/>
  <c r="E31" i="13"/>
  <c r="F31" i="13"/>
  <c r="G31" i="13"/>
  <c r="H31" i="13"/>
  <c r="I31" i="13"/>
  <c r="J31" i="13"/>
  <c r="K31" i="13"/>
  <c r="L31" i="13"/>
  <c r="L32" i="13" s="1"/>
  <c r="M31" i="13"/>
  <c r="N31" i="13"/>
  <c r="G32" i="13"/>
  <c r="I32" i="13"/>
  <c r="J32" i="13"/>
  <c r="C32" i="13"/>
  <c r="C29" i="13"/>
  <c r="C30" i="13"/>
  <c r="C31" i="13"/>
  <c r="D27" i="13"/>
  <c r="E27" i="13"/>
  <c r="F27" i="13"/>
  <c r="G27" i="13"/>
  <c r="H27" i="13"/>
  <c r="I27" i="13"/>
  <c r="J27" i="13"/>
  <c r="K27" i="13"/>
  <c r="L27" i="13"/>
  <c r="M27" i="13"/>
  <c r="N27" i="13"/>
  <c r="C27" i="13"/>
  <c r="C28" i="13"/>
  <c r="N23" i="13"/>
  <c r="N22" i="13"/>
  <c r="J10" i="4"/>
  <c r="J9" i="4"/>
  <c r="J8" i="4"/>
  <c r="C9" i="13"/>
  <c r="B12" i="13"/>
  <c r="D16" i="13"/>
  <c r="E16" i="13"/>
  <c r="F16" i="13"/>
  <c r="G16" i="13"/>
  <c r="H16" i="13"/>
  <c r="I16" i="13"/>
  <c r="J16" i="13"/>
  <c r="K16" i="13"/>
  <c r="L16" i="13"/>
  <c r="M16" i="13"/>
  <c r="N16" i="13"/>
  <c r="D17" i="13"/>
  <c r="E17" i="13"/>
  <c r="F17" i="13"/>
  <c r="G17" i="13"/>
  <c r="H17" i="13"/>
  <c r="I17" i="13"/>
  <c r="J17" i="13"/>
  <c r="K17" i="13"/>
  <c r="L17" i="13"/>
  <c r="M17" i="13"/>
  <c r="N17" i="13"/>
  <c r="C17" i="13"/>
  <c r="C16" i="13"/>
  <c r="C17" i="12" l="1"/>
  <c r="B20" i="35"/>
  <c r="B21" i="35"/>
  <c r="D15" i="13"/>
  <c r="E15" i="13"/>
  <c r="F15" i="13"/>
  <c r="G15" i="13"/>
  <c r="H15" i="13"/>
  <c r="I15" i="13"/>
  <c r="J15" i="13"/>
  <c r="K15" i="13"/>
  <c r="L15" i="13"/>
  <c r="M15" i="13"/>
  <c r="N15" i="13"/>
  <c r="C15" i="13"/>
  <c r="C10" i="9"/>
  <c r="D14" i="6"/>
  <c r="C14" i="6"/>
  <c r="B14" i="6"/>
  <c r="C9" i="6"/>
  <c r="E9" i="6" s="1"/>
  <c r="E8" i="6"/>
  <c r="E7" i="6"/>
  <c r="E6" i="6"/>
  <c r="E5" i="6"/>
  <c r="E4" i="6"/>
  <c r="L15" i="1"/>
  <c r="K15" i="1"/>
  <c r="J15" i="1"/>
  <c r="I15" i="1"/>
  <c r="H15" i="1"/>
  <c r="G15" i="1"/>
  <c r="F15" i="1"/>
  <c r="M4" i="1"/>
  <c r="B10" i="29"/>
  <c r="B10" i="28"/>
  <c r="B11" i="29" l="1"/>
  <c r="B12" i="29"/>
  <c r="B12" i="28"/>
  <c r="B11" i="28"/>
  <c r="D13" i="1" l="1"/>
  <c r="M17" i="1"/>
  <c r="L17" i="1"/>
  <c r="K17" i="1"/>
  <c r="J17" i="1"/>
  <c r="I17" i="1"/>
  <c r="H17" i="1"/>
  <c r="G17" i="1"/>
  <c r="F17" i="1"/>
  <c r="E17" i="1"/>
  <c r="D17" i="1"/>
  <c r="C17" i="1"/>
  <c r="B17" i="1"/>
  <c r="C6" i="18" l="1"/>
  <c r="C21" i="17" s="1"/>
  <c r="C23" i="17" s="1"/>
  <c r="D6" i="18"/>
  <c r="D21" i="17" s="1"/>
  <c r="D23" i="17" s="1"/>
  <c r="E6" i="18"/>
  <c r="E21" i="17" s="1"/>
  <c r="E23" i="17" s="1"/>
  <c r="F6" i="18"/>
  <c r="F21" i="17" s="1"/>
  <c r="F23" i="17" s="1"/>
  <c r="G6" i="18"/>
  <c r="G21" i="17" s="1"/>
  <c r="G23" i="17" s="1"/>
  <c r="H6" i="18"/>
  <c r="H21" i="17" s="1"/>
  <c r="H23" i="17" s="1"/>
  <c r="I6" i="18"/>
  <c r="I21" i="17" s="1"/>
  <c r="I23" i="17" s="1"/>
  <c r="J6" i="18"/>
  <c r="J21" i="17" s="1"/>
  <c r="J23" i="17" s="1"/>
  <c r="K6" i="18"/>
  <c r="K21" i="17" s="1"/>
  <c r="K23" i="17" s="1"/>
  <c r="L6" i="18"/>
  <c r="L21" i="17" s="1"/>
  <c r="L23" i="17" s="1"/>
  <c r="M6" i="18"/>
  <c r="M21" i="17" s="1"/>
  <c r="M23" i="17" s="1"/>
  <c r="B6" i="18"/>
  <c r="B21" i="17" s="1"/>
  <c r="B23" i="17" s="1"/>
  <c r="C17" i="17"/>
  <c r="D17" i="17"/>
  <c r="E17" i="17"/>
  <c r="F17" i="17"/>
  <c r="G17" i="17"/>
  <c r="H17" i="17"/>
  <c r="I17" i="17"/>
  <c r="J17" i="17"/>
  <c r="K17" i="17"/>
  <c r="L17" i="17"/>
  <c r="M17" i="17"/>
  <c r="B17" i="17"/>
  <c r="C12" i="17"/>
  <c r="C16" i="17" s="1"/>
  <c r="D12" i="17"/>
  <c r="E12" i="17"/>
  <c r="E16" i="17" s="1"/>
  <c r="F12" i="17"/>
  <c r="F16" i="17" s="1"/>
  <c r="G12" i="17"/>
  <c r="G16" i="17" s="1"/>
  <c r="G20" i="17" s="1"/>
  <c r="H12" i="17"/>
  <c r="H16" i="17" s="1"/>
  <c r="I12" i="17"/>
  <c r="I16" i="17" s="1"/>
  <c r="J12" i="17"/>
  <c r="K12" i="17"/>
  <c r="K16" i="17" s="1"/>
  <c r="L12" i="17"/>
  <c r="L16" i="17" s="1"/>
  <c r="B12" i="17"/>
  <c r="B16" i="17" s="1"/>
  <c r="M6" i="17"/>
  <c r="C8" i="17"/>
  <c r="C13" i="17" s="1"/>
  <c r="D8" i="17"/>
  <c r="D13" i="17" s="1"/>
  <c r="E8" i="17"/>
  <c r="E13" i="17" s="1"/>
  <c r="F8" i="17"/>
  <c r="F13" i="17" s="1"/>
  <c r="G8" i="17"/>
  <c r="G13" i="17" s="1"/>
  <c r="H8" i="17"/>
  <c r="H13" i="17" s="1"/>
  <c r="I8" i="17"/>
  <c r="I13" i="17" s="1"/>
  <c r="J8" i="17"/>
  <c r="J13" i="17" s="1"/>
  <c r="K8" i="17"/>
  <c r="K13" i="17" s="1"/>
  <c r="K14" i="17" s="1"/>
  <c r="L8" i="17"/>
  <c r="L13" i="17" s="1"/>
  <c r="M8" i="17"/>
  <c r="M13" i="17" s="1"/>
  <c r="B8" i="17"/>
  <c r="B13" i="17" s="1"/>
  <c r="L6" i="17"/>
  <c r="K6" i="17"/>
  <c r="J6" i="17"/>
  <c r="I6" i="17"/>
  <c r="H6" i="17"/>
  <c r="G6" i="17"/>
  <c r="F6" i="17"/>
  <c r="E6" i="17"/>
  <c r="D6" i="17"/>
  <c r="C6" i="17"/>
  <c r="B6" i="17"/>
  <c r="G26" i="17" l="1"/>
  <c r="F14" i="17"/>
  <c r="E14" i="17"/>
  <c r="L14" i="17"/>
  <c r="H20" i="17"/>
  <c r="H26" i="17" s="1"/>
  <c r="I20" i="17"/>
  <c r="I26" i="17" s="1"/>
  <c r="F20" i="17"/>
  <c r="F26" i="17" s="1"/>
  <c r="E20" i="17"/>
  <c r="E26" i="17" s="1"/>
  <c r="B20" i="17"/>
  <c r="B26" i="17" s="1"/>
  <c r="L20" i="17"/>
  <c r="L26" i="17" s="1"/>
  <c r="C20" i="17"/>
  <c r="C26" i="17" s="1"/>
  <c r="K20" i="17"/>
  <c r="K26" i="17" s="1"/>
  <c r="I14" i="17"/>
  <c r="M12" i="17"/>
  <c r="M16" i="17" s="1"/>
  <c r="M20" i="17" s="1"/>
  <c r="M26" i="17" s="1"/>
  <c r="G14" i="17"/>
  <c r="D14" i="17"/>
  <c r="D16" i="17"/>
  <c r="D20" i="17" s="1"/>
  <c r="D26" i="17" s="1"/>
  <c r="J14" i="17"/>
  <c r="J16" i="17"/>
  <c r="J20" i="17" s="1"/>
  <c r="J26" i="17" s="1"/>
  <c r="C14" i="17"/>
  <c r="H14" i="17"/>
  <c r="B14" i="17"/>
  <c r="M14" i="17" l="1"/>
  <c r="C12" i="13"/>
  <c r="D9" i="13" s="1"/>
  <c r="D12" i="13" s="1"/>
  <c r="E9" i="13" s="1"/>
  <c r="E12" i="13" s="1"/>
  <c r="F9" i="13" s="1"/>
  <c r="F12" i="13" s="1"/>
  <c r="G9" i="13" s="1"/>
  <c r="G12" i="13" s="1"/>
  <c r="H9" i="13" s="1"/>
  <c r="H12" i="13" s="1"/>
  <c r="I9" i="13" s="1"/>
  <c r="I12" i="13" s="1"/>
  <c r="J9" i="13" s="1"/>
  <c r="J12" i="13" s="1"/>
  <c r="K9" i="13" s="1"/>
  <c r="K12" i="13" s="1"/>
  <c r="L9" i="13" s="1"/>
  <c r="L12" i="13" s="1"/>
  <c r="M9" i="13" s="1"/>
  <c r="M12" i="13" s="1"/>
  <c r="N9" i="13" s="1"/>
  <c r="N12" i="13" s="1"/>
  <c r="B2" i="26"/>
  <c r="B3" i="26"/>
  <c r="B4" i="26"/>
  <c r="B5" i="26"/>
  <c r="B6" i="26"/>
  <c r="B8" i="26"/>
  <c r="B9" i="26"/>
  <c r="B10" i="26"/>
  <c r="B11" i="26"/>
  <c r="B12" i="26"/>
  <c r="B13" i="26"/>
  <c r="B7" i="26"/>
  <c r="I18" i="13" l="1"/>
  <c r="I19" i="13"/>
  <c r="D8" i="26" s="1"/>
  <c r="G18" i="13"/>
  <c r="E6" i="26" s="1"/>
  <c r="J6" i="26" s="1"/>
  <c r="B20" i="26" s="1"/>
  <c r="G19" i="13"/>
  <c r="D6" i="26" s="1"/>
  <c r="F18" i="13"/>
  <c r="F19" i="13"/>
  <c r="D5" i="26" s="1"/>
  <c r="N18" i="13"/>
  <c r="N19" i="13"/>
  <c r="D13" i="26" s="1"/>
  <c r="E18" i="13"/>
  <c r="E19" i="13"/>
  <c r="D4" i="26" s="1"/>
  <c r="D19" i="13"/>
  <c r="D3" i="26" s="1"/>
  <c r="D18" i="13"/>
  <c r="H18" i="13"/>
  <c r="H19" i="13"/>
  <c r="C18" i="13"/>
  <c r="C19" i="13"/>
  <c r="D2" i="26" s="1"/>
  <c r="C8" i="26"/>
  <c r="C6" i="26"/>
  <c r="C9" i="26"/>
  <c r="C7" i="26"/>
  <c r="C5" i="26"/>
  <c r="C13" i="26"/>
  <c r="C4" i="26"/>
  <c r="C12" i="26"/>
  <c r="C3" i="26"/>
  <c r="C11" i="26"/>
  <c r="C2" i="26"/>
  <c r="C10" i="26"/>
  <c r="E8" i="26"/>
  <c r="I20" i="13"/>
  <c r="F6" i="26" l="1"/>
  <c r="H25" i="13"/>
  <c r="G20" i="13"/>
  <c r="N21" i="13"/>
  <c r="E25" i="13"/>
  <c r="J18" i="13"/>
  <c r="J19" i="13"/>
  <c r="D9" i="26" s="1"/>
  <c r="G25" i="13"/>
  <c r="K19" i="13"/>
  <c r="D10" i="26" s="1"/>
  <c r="K18" i="13"/>
  <c r="E7" i="26"/>
  <c r="J7" i="26" s="1"/>
  <c r="B21" i="26" s="1"/>
  <c r="L18" i="13"/>
  <c r="L19" i="13"/>
  <c r="D11" i="26" s="1"/>
  <c r="M19" i="13"/>
  <c r="D12" i="26" s="1"/>
  <c r="M18" i="13"/>
  <c r="J8" i="26"/>
  <c r="B22" i="26" s="1"/>
  <c r="F8" i="26"/>
  <c r="H20" i="13"/>
  <c r="D7" i="26"/>
  <c r="C25" i="13"/>
  <c r="D25" i="13"/>
  <c r="E20" i="13"/>
  <c r="E4" i="26"/>
  <c r="J4" i="26" s="1"/>
  <c r="B18" i="26" s="1"/>
  <c r="N25" i="13"/>
  <c r="F20" i="13"/>
  <c r="E5" i="26"/>
  <c r="J5" i="26" s="1"/>
  <c r="B19" i="26" s="1"/>
  <c r="I25" i="13"/>
  <c r="D20" i="13"/>
  <c r="E3" i="26"/>
  <c r="J3" i="26" s="1"/>
  <c r="B17" i="26" s="1"/>
  <c r="F25" i="13"/>
  <c r="N20" i="13"/>
  <c r="E13" i="26"/>
  <c r="F13" i="26" s="1"/>
  <c r="C20" i="13"/>
  <c r="E2" i="26"/>
  <c r="F2" i="26" s="1"/>
  <c r="F7" i="26" l="1"/>
  <c r="F5" i="26"/>
  <c r="J13" i="26"/>
  <c r="B27" i="26" s="1"/>
  <c r="J2" i="26"/>
  <c r="B16" i="26" s="1"/>
  <c r="E12" i="26"/>
  <c r="M25" i="13"/>
  <c r="E11" i="26"/>
  <c r="L25" i="13"/>
  <c r="F4" i="26"/>
  <c r="K20" i="13"/>
  <c r="E10" i="26"/>
  <c r="K25" i="13"/>
  <c r="J20" i="13"/>
  <c r="E9" i="26"/>
  <c r="J25" i="13"/>
  <c r="F3" i="26"/>
  <c r="M20" i="13"/>
  <c r="L20" i="13"/>
  <c r="F11" i="26" l="1"/>
  <c r="J11" i="26"/>
  <c r="B25" i="26" s="1"/>
  <c r="J9" i="26"/>
  <c r="B23" i="26" s="1"/>
  <c r="F9" i="26"/>
  <c r="J10" i="26"/>
  <c r="B24" i="26" s="1"/>
  <c r="F10" i="26"/>
  <c r="F12" i="26"/>
  <c r="J12" i="26"/>
  <c r="B26" i="26" s="1"/>
  <c r="B12" i="9"/>
  <c r="C12" i="9" s="1"/>
  <c r="B11" i="9"/>
  <c r="C11" i="9" s="1"/>
  <c r="B10" i="9"/>
  <c r="B7" i="9"/>
  <c r="E13" i="6"/>
  <c r="E14" i="6" s="1"/>
  <c r="B21" i="6"/>
  <c r="B20" i="6"/>
  <c r="B19" i="6"/>
  <c r="E3" i="6"/>
  <c r="B18" i="6" s="1"/>
  <c r="C10" i="6"/>
  <c r="D10" i="6"/>
  <c r="B10" i="6"/>
  <c r="B22" i="6" l="1"/>
  <c r="E10" i="6"/>
  <c r="B10" i="4"/>
  <c r="B9" i="4" l="1"/>
  <c r="B8" i="4"/>
  <c r="B13" i="4" l="1"/>
  <c r="B18" i="4" s="1"/>
  <c r="M13" i="1"/>
  <c r="M18" i="1" s="1"/>
  <c r="L13" i="1"/>
  <c r="L18" i="1" s="1"/>
  <c r="K13" i="1"/>
  <c r="K18" i="1" s="1"/>
  <c r="J13" i="1"/>
  <c r="J18" i="1" s="1"/>
  <c r="I13" i="1"/>
  <c r="I18" i="1" s="1"/>
  <c r="H13" i="1"/>
  <c r="H18" i="1" s="1"/>
  <c r="G13" i="1"/>
  <c r="G18" i="1" s="1"/>
  <c r="F13" i="1"/>
  <c r="F18" i="1" s="1"/>
  <c r="E13" i="1"/>
  <c r="E18" i="1" s="1"/>
  <c r="D18" i="1"/>
  <c r="C13" i="1"/>
  <c r="C18" i="1" s="1"/>
  <c r="B13" i="1"/>
  <c r="B18" i="1" s="1"/>
  <c r="B3" i="4" l="1"/>
  <c r="B6" i="4" s="1"/>
  <c r="B17" i="4" s="1"/>
  <c r="B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nporter</author>
  </authors>
  <commentList>
    <comment ref="A22" authorId="0" shapeId="0" xr:uid="{7B912F0B-8907-4605-9699-B5F731ACDD27}">
      <text>
        <r>
          <rPr>
            <b/>
            <sz val="8"/>
            <color indexed="81"/>
            <rFont val="Tahoma"/>
            <family val="2"/>
          </rPr>
          <t>Definition: Debts that must be paid off with in the year</t>
        </r>
      </text>
    </comment>
    <comment ref="A26" authorId="0" shapeId="0" xr:uid="{32C5EC51-F172-472C-9972-BA8F6AB8815D}">
      <text>
        <r>
          <rPr>
            <b/>
            <sz val="8"/>
            <color indexed="81"/>
            <rFont val="Tahoma"/>
            <family val="2"/>
          </rPr>
          <t>Definition: debts that are not due for at least a year</t>
        </r>
      </text>
    </comment>
  </commentList>
</comments>
</file>

<file path=xl/sharedStrings.xml><?xml version="1.0" encoding="utf-8"?>
<sst xmlns="http://schemas.openxmlformats.org/spreadsheetml/2006/main" count="301" uniqueCount="151">
  <si>
    <t>Current Assets:</t>
  </si>
  <si>
    <t xml:space="preserve">   Cash - Unrestricted</t>
  </si>
  <si>
    <t xml:space="preserve">   Accounts Receivable, net</t>
  </si>
  <si>
    <t>Noncurrent Assets:</t>
  </si>
  <si>
    <t xml:space="preserve">   Cash  - Restricted</t>
  </si>
  <si>
    <t xml:space="preserve">   ADOM Receivable</t>
  </si>
  <si>
    <t xml:space="preserve">   Shubert Trust ADOM Receivable</t>
  </si>
  <si>
    <t xml:space="preserve">   Deposits and Prepaid Expenses</t>
  </si>
  <si>
    <t xml:space="preserve">   Investments - Restricted</t>
  </si>
  <si>
    <t xml:space="preserve">   Right-of-use-asset - operating</t>
  </si>
  <si>
    <t xml:space="preserve">   Property and equipment, net</t>
  </si>
  <si>
    <t xml:space="preserve">      Total Assets</t>
  </si>
  <si>
    <t>Invenstment Including Endowment</t>
  </si>
  <si>
    <t xml:space="preserve">      Total Net Assets</t>
  </si>
  <si>
    <t>Liabilities &amp; Net Assets</t>
  </si>
  <si>
    <t>Current Liabilities:</t>
  </si>
  <si>
    <t xml:space="preserve">   Accounts Payable &amp; Accrued Expenses</t>
  </si>
  <si>
    <t xml:space="preserve">   Line of Credit</t>
  </si>
  <si>
    <t xml:space="preserve">   Deferred Income</t>
  </si>
  <si>
    <t>Long-term Liabilities:</t>
  </si>
  <si>
    <t xml:space="preserve">   Amounts held on behalf of others</t>
  </si>
  <si>
    <t xml:space="preserve">   Refundable advance</t>
  </si>
  <si>
    <t xml:space="preserve">   Note Payable</t>
  </si>
  <si>
    <t xml:space="preserve">   Right-of-use-liability - operating</t>
  </si>
  <si>
    <t xml:space="preserve">      Total Liabilities</t>
  </si>
  <si>
    <t>Current</t>
  </si>
  <si>
    <t>Without Donor Restrictions</t>
  </si>
  <si>
    <t>With Donor Restrictions</t>
  </si>
  <si>
    <t>Assets</t>
  </si>
  <si>
    <t>Liabilities</t>
  </si>
  <si>
    <t>Net</t>
  </si>
  <si>
    <t>Restricted Cash</t>
  </si>
  <si>
    <t>Day One</t>
  </si>
  <si>
    <t>Interest on Day one</t>
  </si>
  <si>
    <t>Day one expenses</t>
  </si>
  <si>
    <t>Total Restricted</t>
  </si>
  <si>
    <t xml:space="preserve">Net Assets </t>
  </si>
  <si>
    <t>Total</t>
  </si>
  <si>
    <t>Revenue and other support</t>
  </si>
  <si>
    <t>Expenses</t>
  </si>
  <si>
    <t xml:space="preserve">            Community Based Services</t>
  </si>
  <si>
    <t xml:space="preserve">            Child Development Services</t>
  </si>
  <si>
    <t xml:space="preserve">            Ministries</t>
  </si>
  <si>
    <t xml:space="preserve">            General Admin and Fund Raising</t>
  </si>
  <si>
    <t>Without Donor</t>
  </si>
  <si>
    <t>With Donor</t>
  </si>
  <si>
    <t>Restrictions</t>
  </si>
  <si>
    <t>Contributions, foundations, trusts and bequests</t>
  </si>
  <si>
    <t>United Way</t>
  </si>
  <si>
    <t>Contributed facilities, goods and services</t>
  </si>
  <si>
    <t>Grants from government agencies and others</t>
  </si>
  <si>
    <t>Program service fees</t>
  </si>
  <si>
    <t>Other income</t>
  </si>
  <si>
    <t>Satisfaction of program restrictions</t>
  </si>
  <si>
    <t>Total Revenue and Support</t>
  </si>
  <si>
    <t>Gifts Restricted</t>
  </si>
  <si>
    <t>in Perpetuity</t>
  </si>
  <si>
    <t>Total Revenue and Support from Non operating Activities</t>
  </si>
  <si>
    <t>Investment gain, net of fees</t>
  </si>
  <si>
    <t>Other Revenue and Support</t>
  </si>
  <si>
    <t>Grants</t>
  </si>
  <si>
    <t>Grand Total</t>
  </si>
  <si>
    <t>Row Labels</t>
  </si>
  <si>
    <t>Total Revenue</t>
  </si>
  <si>
    <t>Total Expenses</t>
  </si>
  <si>
    <t>Community Based Services</t>
  </si>
  <si>
    <t>Child Development Services</t>
  </si>
  <si>
    <t>General Admin, Fund Raising &amp; Ministries</t>
  </si>
  <si>
    <t>Service Area</t>
  </si>
  <si>
    <t>In-Kind</t>
  </si>
  <si>
    <t>Net Admin</t>
  </si>
  <si>
    <t>Catholic Charities of the Archdiocese of Miami, Inc</t>
  </si>
  <si>
    <t>Bezos Restricted</t>
  </si>
  <si>
    <t xml:space="preserve">   ADOM Interest</t>
  </si>
  <si>
    <t xml:space="preserve">   ADOM Expenses</t>
  </si>
  <si>
    <t>Values</t>
  </si>
  <si>
    <t>Category</t>
  </si>
  <si>
    <t>Unrestricted Net Assets</t>
  </si>
  <si>
    <t>Net Assets</t>
  </si>
  <si>
    <t>Equity on Fixed Assets</t>
  </si>
  <si>
    <t>Liability on Fixed Assets</t>
  </si>
  <si>
    <t>LUNA</t>
  </si>
  <si>
    <t># of Months</t>
  </si>
  <si>
    <t>Average monthly expenses</t>
  </si>
  <si>
    <t>Months of Unrestricted Net Assets (LUNA)</t>
  </si>
  <si>
    <t xml:space="preserve">   ADOM Receivable Unrestricted</t>
  </si>
  <si>
    <t xml:space="preserve">   ADOM Receivable Restricted</t>
  </si>
  <si>
    <t>Months of Unrestricted Cash</t>
  </si>
  <si>
    <t>Sum of Total</t>
  </si>
  <si>
    <t>We serve people not because they are Catholic; We serve people because we are Catholic.©</t>
  </si>
  <si>
    <t>Unrestricted Cash</t>
  </si>
  <si>
    <t>Restricted ADOM</t>
  </si>
  <si>
    <t>Unrestricted ADOM</t>
  </si>
  <si>
    <t>Total Cash</t>
  </si>
  <si>
    <t>Date</t>
  </si>
  <si>
    <t>Untrestricted Cash</t>
  </si>
  <si>
    <t xml:space="preserve">Expenses </t>
  </si>
  <si>
    <t xml:space="preserve"> </t>
  </si>
  <si>
    <t>*From 11/2023</t>
  </si>
  <si>
    <t>% Revenue</t>
  </si>
  <si>
    <t>In Millions</t>
  </si>
  <si>
    <t>% Expenses</t>
  </si>
  <si>
    <t>Financial Dashboard for FY 24-25</t>
  </si>
  <si>
    <t>Beginning Balance</t>
  </si>
  <si>
    <t>Net Day One</t>
  </si>
  <si>
    <t>Cash - Unrestricted</t>
  </si>
  <si>
    <t>Cash  - Restricted</t>
  </si>
  <si>
    <t>ADOM Receivable Unrestricted</t>
  </si>
  <si>
    <t>ADOM Receivable Restricted</t>
  </si>
  <si>
    <t>7/31/24</t>
  </si>
  <si>
    <t>08/31/24</t>
  </si>
  <si>
    <t>09/30/24</t>
  </si>
  <si>
    <t>10/31/24</t>
  </si>
  <si>
    <t>11/30/24</t>
  </si>
  <si>
    <t>12/31/24</t>
  </si>
  <si>
    <t>1/31/25</t>
  </si>
  <si>
    <t>2/28/25</t>
  </si>
  <si>
    <t>3/31/25</t>
  </si>
  <si>
    <t>4/30/25</t>
  </si>
  <si>
    <t>5/31/25</t>
  </si>
  <si>
    <t>6/30/25</t>
  </si>
  <si>
    <t>Total as of 06/30/25</t>
  </si>
  <si>
    <t>Pivot</t>
  </si>
  <si>
    <t>LUNA = Net Assets without donor restriction-equity of FA-prepaid expenses-inventory-long term investems)</t>
  </si>
  <si>
    <t>Division</t>
  </si>
  <si>
    <t>Revenue</t>
  </si>
  <si>
    <t>Expenses including Admin Cost</t>
  </si>
  <si>
    <t>*SOA as of 06/30/25 sorted by division</t>
  </si>
  <si>
    <t>W/O Admin Cost</t>
  </si>
  <si>
    <t>W Admin Cost</t>
  </si>
  <si>
    <t>Totals</t>
  </si>
  <si>
    <t>Column Labels</t>
  </si>
  <si>
    <t>Sum of Totals</t>
  </si>
  <si>
    <t>Child Development</t>
  </si>
  <si>
    <t>Community Based</t>
  </si>
  <si>
    <t>% of expenses</t>
  </si>
  <si>
    <t>Total Admin Costs</t>
  </si>
  <si>
    <t>Total PGM Costs</t>
  </si>
  <si>
    <t>Net PGM</t>
  </si>
  <si>
    <t>Total Cost no In-Kind</t>
  </si>
  <si>
    <t>Program Services</t>
  </si>
  <si>
    <t>Admin Supporting Activities</t>
  </si>
  <si>
    <t xml:space="preserve">Total Revenue to Date </t>
  </si>
  <si>
    <t>Total Non Operating Activities</t>
  </si>
  <si>
    <t>Change in Net Assets to date</t>
  </si>
  <si>
    <t>Total Expenses to Date</t>
  </si>
  <si>
    <t>(All)</t>
  </si>
  <si>
    <t>Administration Expense Ratio</t>
  </si>
  <si>
    <t>07/31/24</t>
  </si>
  <si>
    <t>05/31/25</t>
  </si>
  <si>
    <t>06/30/25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</si>
</sst>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0_);[Red]\(###,##0\)"/>
    <numFmt numFmtId="166" formatCode="_(* #,##0_);_(* \(#,##0\);_(* &quot;-&quot;??_);_(@_)"/>
    <numFmt numFmtId="167" formatCode="0.00,,&quot;M&quot;"/>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b/>
      <u val="double"/>
      <sz val="11"/>
      <color theme="1"/>
      <name val="Aptos Narrow"/>
      <family val="2"/>
      <scheme val="minor"/>
    </font>
    <font>
      <sz val="8"/>
      <name val="Times New Roman"/>
      <family val="1"/>
    </font>
    <font>
      <sz val="10"/>
      <name val="Arial"/>
      <family val="2"/>
    </font>
    <font>
      <b/>
      <sz val="10"/>
      <name val="Arial"/>
      <family val="2"/>
    </font>
    <font>
      <b/>
      <sz val="8"/>
      <color indexed="81"/>
      <name val="Tahoma"/>
      <family val="2"/>
    </font>
    <font>
      <sz val="8"/>
      <color theme="1"/>
      <name val="Tahoma"/>
      <family val="2"/>
    </font>
    <font>
      <sz val="10"/>
      <color theme="1"/>
      <name val="Arial"/>
      <family val="2"/>
    </font>
    <font>
      <sz val="10"/>
      <color indexed="8"/>
      <name val="Arial"/>
      <family val="2"/>
    </font>
    <font>
      <sz val="11"/>
      <color theme="0"/>
      <name val="Aptos Narrow"/>
      <family val="2"/>
      <scheme val="minor"/>
    </font>
    <font>
      <b/>
      <sz val="16"/>
      <color rgb="FF7030A0"/>
      <name val="Aptos Narrow"/>
      <family val="2"/>
      <scheme val="minor"/>
    </font>
    <font>
      <b/>
      <sz val="11"/>
      <color rgb="FF7030A0"/>
      <name val="Aptos Narrow"/>
      <family val="2"/>
      <scheme val="minor"/>
    </font>
    <font>
      <b/>
      <sz val="16"/>
      <color theme="0"/>
      <name val="Aptos Narrow"/>
      <family val="2"/>
      <scheme val="minor"/>
    </font>
    <font>
      <sz val="16"/>
      <color theme="0"/>
      <name val="Aptos Narrow"/>
      <family val="2"/>
      <scheme val="minor"/>
    </font>
    <font>
      <u val="double"/>
      <sz val="11"/>
      <color theme="1"/>
      <name val="Aptos Narrow"/>
      <family val="2"/>
      <scheme val="minor"/>
    </font>
    <font>
      <b/>
      <i/>
      <sz val="12"/>
      <color rgb="FF633164"/>
      <name val="Source Sans Pro"/>
      <family val="2"/>
    </font>
    <font>
      <b/>
      <sz val="20"/>
      <color rgb="FF633164"/>
      <name val="Aptos Narrow"/>
      <family val="2"/>
      <scheme val="minor"/>
    </font>
    <font>
      <b/>
      <sz val="15"/>
      <color theme="0"/>
      <name val="Aptos Narrow"/>
      <family val="2"/>
      <scheme val="minor"/>
    </font>
    <font>
      <sz val="15"/>
      <color theme="0"/>
      <name val="Aptos Narrow"/>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633164"/>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633164"/>
      </left>
      <right/>
      <top style="thin">
        <color rgb="FF633164"/>
      </top>
      <bottom/>
      <diagonal/>
    </border>
    <border>
      <left/>
      <right/>
      <top style="thin">
        <color rgb="FF633164"/>
      </top>
      <bottom/>
      <diagonal/>
    </border>
    <border>
      <left/>
      <right style="thin">
        <color rgb="FF633164"/>
      </right>
      <top style="thin">
        <color rgb="FF633164"/>
      </top>
      <bottom/>
      <diagonal/>
    </border>
    <border>
      <left style="thin">
        <color rgb="FF633164"/>
      </left>
      <right/>
      <top/>
      <bottom/>
      <diagonal/>
    </border>
    <border>
      <left/>
      <right style="thin">
        <color rgb="FF633164"/>
      </right>
      <top/>
      <bottom/>
      <diagonal/>
    </border>
    <border>
      <left style="thin">
        <color rgb="FF633164"/>
      </left>
      <right/>
      <top/>
      <bottom style="thin">
        <color rgb="FF633164"/>
      </bottom>
      <diagonal/>
    </border>
    <border>
      <left/>
      <right/>
      <top/>
      <bottom style="thin">
        <color rgb="FF633164"/>
      </bottom>
      <diagonal/>
    </border>
    <border>
      <left/>
      <right style="thin">
        <color rgb="FF633164"/>
      </right>
      <top/>
      <bottom style="thin">
        <color rgb="FF633164"/>
      </bottom>
      <diagonal/>
    </border>
    <border>
      <left style="medium">
        <color indexed="64"/>
      </left>
      <right style="medium">
        <color indexed="64"/>
      </right>
      <top style="medium">
        <color indexed="64"/>
      </top>
      <bottom style="medium">
        <color indexed="64"/>
      </bottom>
      <diagonal/>
    </border>
    <border>
      <left style="medium">
        <color theme="1"/>
      </left>
      <right/>
      <top/>
      <bottom style="medium">
        <color theme="1"/>
      </bottom>
      <diagonal/>
    </border>
    <border>
      <left/>
      <right style="medium">
        <color theme="1"/>
      </right>
      <top/>
      <bottom style="medium">
        <color theme="1"/>
      </bottom>
      <diagonal/>
    </border>
    <border>
      <left/>
      <right/>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right/>
      <top/>
      <bottom style="thin">
        <color theme="4" tint="0.39997558519241921"/>
      </bottom>
      <diagonal/>
    </border>
  </borders>
  <cellStyleXfs count="8">
    <xf numFmtId="0" fontId="0" fillId="0" borderId="0"/>
    <xf numFmtId="44" fontId="1" fillId="0" borderId="0" applyFont="0" applyFill="0" applyBorder="0" applyAlignment="0" applyProtection="0"/>
    <xf numFmtId="0" fontId="4"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xf numFmtId="43" fontId="4" fillId="0" borderId="0" applyFont="0" applyFill="0" applyBorder="0" applyAlignment="0" applyProtection="0"/>
  </cellStyleXfs>
  <cellXfs count="170">
    <xf numFmtId="0" fontId="0" fillId="0" borderId="0" xfId="0"/>
    <xf numFmtId="14" fontId="3" fillId="0" borderId="0" xfId="0" applyNumberFormat="1" applyFont="1" applyAlignment="1">
      <alignment horizontal="center"/>
    </xf>
    <xf numFmtId="0" fontId="5" fillId="0" borderId="0" xfId="2" applyFont="1" applyAlignment="1">
      <alignment horizontal="left" vertical="top" wrapText="1"/>
    </xf>
    <xf numFmtId="0" fontId="6" fillId="0" borderId="0" xfId="2"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44" fontId="2" fillId="0" borderId="0" xfId="1" applyFont="1"/>
    <xf numFmtId="44" fontId="0" fillId="0" borderId="1" xfId="1" applyFont="1" applyBorder="1"/>
    <xf numFmtId="44" fontId="0" fillId="0" borderId="2" xfId="1" applyFont="1" applyBorder="1"/>
    <xf numFmtId="44" fontId="0" fillId="0" borderId="3" xfId="1" applyFont="1" applyBorder="1"/>
    <xf numFmtId="44" fontId="0" fillId="0" borderId="4" xfId="1" applyFont="1" applyBorder="1"/>
    <xf numFmtId="44" fontId="0" fillId="0" borderId="0" xfId="1" applyFont="1" applyBorder="1"/>
    <xf numFmtId="44" fontId="0" fillId="0" borderId="5" xfId="1" applyFont="1" applyBorder="1"/>
    <xf numFmtId="44" fontId="0" fillId="0" borderId="6" xfId="1" applyFont="1" applyBorder="1"/>
    <xf numFmtId="44" fontId="0" fillId="0" borderId="7" xfId="1" applyFont="1" applyBorder="1"/>
    <xf numFmtId="44" fontId="2" fillId="0" borderId="0" xfId="1" applyFont="1" applyFill="1" applyBorder="1"/>
    <xf numFmtId="0" fontId="6" fillId="0" borderId="9" xfId="0" applyFont="1" applyBorder="1" applyAlignment="1">
      <alignment horizontal="left" vertical="top" wrapText="1"/>
    </xf>
    <xf numFmtId="44" fontId="2" fillId="0" borderId="10" xfId="0" applyNumberFormat="1" applyFont="1" applyBorder="1"/>
    <xf numFmtId="44" fontId="2" fillId="0" borderId="11" xfId="0" applyNumberFormat="1" applyFont="1" applyBorder="1"/>
    <xf numFmtId="0" fontId="5" fillId="0" borderId="0" xfId="0" applyFont="1" applyAlignment="1">
      <alignment vertical="top" wrapText="1"/>
    </xf>
    <xf numFmtId="44" fontId="0" fillId="0" borderId="0" xfId="0" applyNumberFormat="1"/>
    <xf numFmtId="0" fontId="5" fillId="0" borderId="1" xfId="0" applyFont="1" applyBorder="1" applyAlignment="1">
      <alignment horizontal="left" vertical="top" wrapText="1"/>
    </xf>
    <xf numFmtId="0" fontId="0" fillId="0" borderId="2" xfId="0" applyBorder="1"/>
    <xf numFmtId="0" fontId="0" fillId="0" borderId="3" xfId="0" applyBorder="1"/>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44" fontId="0" fillId="0" borderId="8" xfId="1" applyFont="1" applyBorder="1"/>
    <xf numFmtId="44" fontId="2" fillId="0" borderId="0" xfId="0" applyNumberFormat="1" applyFont="1"/>
    <xf numFmtId="0" fontId="2" fillId="0" borderId="0" xfId="0" applyFont="1"/>
    <xf numFmtId="43" fontId="0" fillId="0" borderId="0" xfId="3" applyFont="1"/>
    <xf numFmtId="43" fontId="2" fillId="0" borderId="0" xfId="3" applyFont="1"/>
    <xf numFmtId="43" fontId="0" fillId="0" borderId="0" xfId="0" applyNumberFormat="1"/>
    <xf numFmtId="164" fontId="0" fillId="0" borderId="0" xfId="0" applyNumberFormat="1"/>
    <xf numFmtId="164" fontId="2" fillId="0" borderId="0" xfId="0" applyNumberFormat="1" applyFont="1"/>
    <xf numFmtId="0" fontId="5" fillId="0" borderId="0" xfId="0" applyFont="1" applyAlignment="1">
      <alignment horizontal="left" vertical="top"/>
    </xf>
    <xf numFmtId="0" fontId="6" fillId="0" borderId="0" xfId="0" applyFont="1" applyAlignment="1">
      <alignment horizontal="left" vertical="top"/>
    </xf>
    <xf numFmtId="165" fontId="5" fillId="0" borderId="0" xfId="0" applyNumberFormat="1" applyFont="1" applyAlignment="1">
      <alignment horizontal="center"/>
    </xf>
    <xf numFmtId="165" fontId="5" fillId="0" borderId="0" xfId="0" applyNumberFormat="1" applyFont="1" applyAlignment="1">
      <alignment horizontal="right"/>
    </xf>
    <xf numFmtId="0" fontId="5" fillId="0" borderId="0" xfId="0" applyFont="1" applyAlignment="1">
      <alignment horizontal="center" vertical="top" wrapText="1"/>
    </xf>
    <xf numFmtId="165" fontId="2" fillId="0" borderId="0" xfId="0" applyNumberFormat="1" applyFont="1"/>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166" fontId="0" fillId="0" borderId="0" xfId="0" applyNumberFormat="1"/>
    <xf numFmtId="166" fontId="0" fillId="0" borderId="2" xfId="3" applyNumberFormat="1" applyFont="1" applyBorder="1"/>
    <xf numFmtId="166" fontId="0" fillId="0" borderId="3" xfId="3" applyNumberFormat="1" applyFont="1" applyBorder="1"/>
    <xf numFmtId="166" fontId="0" fillId="0" borderId="7" xfId="3" applyNumberFormat="1" applyFont="1" applyBorder="1"/>
    <xf numFmtId="166" fontId="0" fillId="0" borderId="8" xfId="3" applyNumberFormat="1" applyFont="1" applyBorder="1"/>
    <xf numFmtId="166" fontId="2" fillId="0" borderId="0" xfId="0" applyNumberFormat="1" applyFont="1"/>
    <xf numFmtId="166" fontId="9" fillId="0" borderId="1" xfId="3" applyNumberFormat="1" applyFont="1" applyBorder="1" applyAlignment="1">
      <alignment horizontal="right" vertical="top"/>
    </xf>
    <xf numFmtId="166" fontId="9" fillId="0" borderId="4" xfId="3" applyNumberFormat="1" applyFont="1" applyBorder="1" applyAlignment="1">
      <alignment horizontal="right" vertical="top"/>
    </xf>
    <xf numFmtId="166" fontId="0" fillId="0" borderId="0" xfId="3" applyNumberFormat="1" applyFont="1" applyBorder="1"/>
    <xf numFmtId="166" fontId="0" fillId="0" borderId="5" xfId="3" applyNumberFormat="1" applyFont="1" applyBorder="1"/>
    <xf numFmtId="166" fontId="10" fillId="0" borderId="4" xfId="3" applyNumberFormat="1" applyFont="1" applyBorder="1" applyAlignment="1">
      <alignment horizontal="right" vertical="top"/>
    </xf>
    <xf numFmtId="166" fontId="9" fillId="0" borderId="6" xfId="3" applyNumberFormat="1" applyFont="1" applyBorder="1" applyAlignment="1">
      <alignment horizontal="right" vertical="top"/>
    </xf>
    <xf numFmtId="0" fontId="2" fillId="0" borderId="0" xfId="0" applyFont="1" applyAlignment="1">
      <alignment horizontal="center"/>
    </xf>
    <xf numFmtId="0" fontId="0" fillId="0" borderId="0" xfId="0" pivotButton="1"/>
    <xf numFmtId="9" fontId="0" fillId="0" borderId="0" xfId="4" applyFont="1"/>
    <xf numFmtId="166" fontId="5" fillId="0" borderId="0" xfId="3" applyNumberFormat="1" applyFont="1" applyAlignment="1">
      <alignment horizontal="right" vertical="top"/>
    </xf>
    <xf numFmtId="166" fontId="5" fillId="0" borderId="12" xfId="3" applyNumberFormat="1" applyFont="1" applyBorder="1" applyAlignment="1">
      <alignment horizontal="right" vertical="top"/>
    </xf>
    <xf numFmtId="44" fontId="5" fillId="0" borderId="0" xfId="1" applyFont="1" applyFill="1" applyBorder="1" applyAlignment="1">
      <alignment horizontal="right" vertical="top" wrapText="1"/>
    </xf>
    <xf numFmtId="43" fontId="0" fillId="0" borderId="0" xfId="3" applyFont="1" applyBorder="1"/>
    <xf numFmtId="0" fontId="5" fillId="0" borderId="16" xfId="0" applyFont="1" applyBorder="1" applyAlignment="1">
      <alignment horizontal="left" vertical="top" wrapText="1"/>
    </xf>
    <xf numFmtId="44" fontId="0" fillId="0" borderId="16" xfId="1" applyFont="1" applyBorder="1"/>
    <xf numFmtId="0" fontId="5" fillId="0" borderId="16" xfId="2" applyFont="1" applyBorder="1" applyAlignment="1">
      <alignment horizontal="left" vertical="top" wrapText="1"/>
    </xf>
    <xf numFmtId="43" fontId="0" fillId="0" borderId="16" xfId="3" applyFont="1" applyBorder="1"/>
    <xf numFmtId="0" fontId="0" fillId="0" borderId="0" xfId="0" applyAlignment="1">
      <alignment horizontal="left"/>
    </xf>
    <xf numFmtId="44" fontId="0" fillId="0" borderId="0" xfId="1" applyFont="1"/>
    <xf numFmtId="0" fontId="2" fillId="0" borderId="16" xfId="0" applyFont="1" applyBorder="1"/>
    <xf numFmtId="0" fontId="0" fillId="2" borderId="0" xfId="0" applyFill="1"/>
    <xf numFmtId="0" fontId="0" fillId="0" borderId="16" xfId="0" applyBorder="1"/>
    <xf numFmtId="44" fontId="0" fillId="0" borderId="16" xfId="0" applyNumberFormat="1" applyBorder="1"/>
    <xf numFmtId="14" fontId="16" fillId="0" borderId="16" xfId="0" applyNumberFormat="1" applyFont="1" applyBorder="1" applyAlignment="1">
      <alignment horizontal="center"/>
    </xf>
    <xf numFmtId="44" fontId="0" fillId="3" borderId="16" xfId="0" applyNumberFormat="1" applyFill="1" applyBorder="1"/>
    <xf numFmtId="0" fontId="2" fillId="3" borderId="16" xfId="0" applyFont="1" applyFill="1" applyBorder="1"/>
    <xf numFmtId="43" fontId="0" fillId="3" borderId="16" xfId="3" applyFont="1" applyFill="1" applyBorder="1"/>
    <xf numFmtId="166" fontId="12" fillId="4" borderId="0" xfId="3" applyNumberFormat="1" applyFont="1" applyFill="1" applyBorder="1"/>
    <xf numFmtId="0" fontId="0" fillId="4" borderId="0" xfId="0" applyFill="1"/>
    <xf numFmtId="0" fontId="12" fillId="4" borderId="0" xfId="0" applyFont="1" applyFill="1"/>
    <xf numFmtId="0" fontId="13" fillId="4" borderId="0" xfId="0" applyFont="1" applyFill="1"/>
    <xf numFmtId="0" fontId="11" fillId="4" borderId="0" xfId="0" applyFont="1" applyFill="1"/>
    <xf numFmtId="0" fontId="14" fillId="4" borderId="0" xfId="0" applyFont="1" applyFill="1"/>
    <xf numFmtId="0" fontId="15" fillId="4" borderId="0" xfId="0" applyFont="1" applyFill="1"/>
    <xf numFmtId="10" fontId="14" fillId="4" borderId="0" xfId="0" applyNumberFormat="1" applyFont="1" applyFill="1"/>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4" borderId="20" xfId="0" applyFill="1" applyBorder="1"/>
    <xf numFmtId="0" fontId="0" fillId="4" borderId="21" xfId="0" applyFill="1" applyBorder="1"/>
    <xf numFmtId="0" fontId="0" fillId="4" borderId="22" xfId="0" applyFill="1" applyBorder="1"/>
    <xf numFmtId="0" fontId="0" fillId="4" borderId="23" xfId="0" applyFill="1" applyBorder="1"/>
    <xf numFmtId="0" fontId="0" fillId="4" borderId="24" xfId="0" applyFill="1" applyBorder="1"/>
    <xf numFmtId="44" fontId="2" fillId="5" borderId="0" xfId="0" applyNumberFormat="1" applyFont="1" applyFill="1"/>
    <xf numFmtId="44" fontId="0" fillId="0" borderId="0" xfId="1" applyFont="1" applyFill="1" applyBorder="1"/>
    <xf numFmtId="0" fontId="0" fillId="0" borderId="25" xfId="0" applyBorder="1"/>
    <xf numFmtId="166" fontId="0" fillId="0" borderId="9" xfId="3" applyNumberFormat="1" applyFont="1" applyBorder="1"/>
    <xf numFmtId="166" fontId="0" fillId="0" borderId="10" xfId="3" applyNumberFormat="1" applyFont="1" applyBorder="1"/>
    <xf numFmtId="166" fontId="0" fillId="0" borderId="11" xfId="3" applyNumberFormat="1" applyFont="1" applyBorder="1"/>
    <xf numFmtId="0" fontId="0" fillId="0" borderId="16" xfId="0" applyBorder="1" applyAlignment="1">
      <alignment horizontal="left"/>
    </xf>
    <xf numFmtId="9" fontId="0" fillId="0" borderId="16" xfId="4" applyFont="1" applyBorder="1"/>
    <xf numFmtId="167" fontId="0" fillId="0" borderId="16" xfId="0" applyNumberFormat="1" applyBorder="1"/>
    <xf numFmtId="44" fontId="0" fillId="0" borderId="29" xfId="1" applyFont="1" applyBorder="1"/>
    <xf numFmtId="0" fontId="5" fillId="0" borderId="29" xfId="0" applyFont="1" applyBorder="1" applyAlignment="1">
      <alignment horizontal="left" vertical="top" wrapText="1"/>
    </xf>
    <xf numFmtId="44" fontId="5" fillId="0" borderId="30" xfId="1" applyFont="1" applyFill="1" applyBorder="1" applyAlignment="1">
      <alignment horizontal="right" vertical="top" wrapText="1"/>
    </xf>
    <xf numFmtId="43" fontId="0" fillId="0" borderId="30" xfId="3" applyFont="1" applyBorder="1"/>
    <xf numFmtId="44" fontId="0" fillId="0" borderId="31" xfId="1" applyFont="1" applyBorder="1"/>
    <xf numFmtId="44" fontId="0" fillId="0" borderId="32" xfId="1" applyFont="1" applyBorder="1"/>
    <xf numFmtId="44" fontId="5" fillId="0" borderId="33" xfId="1" applyFont="1" applyFill="1" applyBorder="1" applyAlignment="1">
      <alignment horizontal="right" vertical="top" wrapText="1"/>
    </xf>
    <xf numFmtId="44" fontId="0" fillId="0" borderId="34" xfId="1" applyFont="1" applyBorder="1"/>
    <xf numFmtId="44" fontId="5" fillId="0" borderId="35" xfId="1" applyFont="1" applyFill="1" applyBorder="1" applyAlignment="1">
      <alignment horizontal="right" vertical="top" wrapText="1"/>
    </xf>
    <xf numFmtId="44" fontId="0" fillId="0" borderId="36" xfId="1" applyFont="1" applyBorder="1"/>
    <xf numFmtId="44" fontId="0" fillId="0" borderId="37" xfId="1" applyFont="1" applyBorder="1"/>
    <xf numFmtId="43" fontId="0" fillId="0" borderId="37" xfId="3" applyFont="1" applyBorder="1"/>
    <xf numFmtId="43" fontId="0" fillId="0" borderId="38" xfId="3" applyFont="1" applyBorder="1"/>
    <xf numFmtId="43" fontId="0" fillId="0" borderId="39" xfId="3" applyFont="1" applyBorder="1"/>
    <xf numFmtId="43" fontId="0" fillId="0" borderId="40" xfId="3" applyFont="1" applyBorder="1"/>
    <xf numFmtId="43" fontId="0" fillId="0" borderId="41" xfId="3" applyFont="1" applyBorder="1"/>
    <xf numFmtId="44" fontId="0" fillId="0" borderId="42" xfId="1" applyFont="1" applyBorder="1"/>
    <xf numFmtId="44" fontId="0" fillId="0" borderId="43" xfId="1" applyFont="1" applyBorder="1"/>
    <xf numFmtId="44" fontId="0" fillId="0" borderId="44" xfId="1" applyFont="1" applyBorder="1"/>
    <xf numFmtId="44" fontId="0" fillId="0" borderId="45" xfId="1" applyFont="1" applyBorder="1"/>
    <xf numFmtId="44" fontId="5" fillId="0" borderId="46" xfId="1" applyFont="1" applyFill="1" applyBorder="1" applyAlignment="1">
      <alignment horizontal="right" vertical="top" wrapText="1"/>
    </xf>
    <xf numFmtId="44" fontId="0" fillId="0" borderId="26" xfId="1" applyFont="1" applyBorder="1"/>
    <xf numFmtId="44" fontId="0" fillId="0" borderId="28" xfId="1" applyFont="1" applyBorder="1"/>
    <xf numFmtId="44" fontId="5" fillId="0" borderId="27" xfId="1" applyFont="1" applyFill="1" applyBorder="1" applyAlignment="1">
      <alignment horizontal="right" vertical="top" wrapText="1"/>
    </xf>
    <xf numFmtId="0" fontId="6" fillId="0" borderId="29" xfId="2" applyFont="1" applyBorder="1" applyAlignment="1">
      <alignment horizontal="left" vertical="top" wrapText="1"/>
    </xf>
    <xf numFmtId="14" fontId="2" fillId="0" borderId="29" xfId="0" applyNumberFormat="1" applyFont="1" applyBorder="1"/>
    <xf numFmtId="0" fontId="5" fillId="0" borderId="29" xfId="2" applyFont="1" applyBorder="1" applyAlignment="1">
      <alignment horizontal="left" vertical="top" wrapText="1"/>
    </xf>
    <xf numFmtId="44" fontId="0" fillId="0" borderId="29" xfId="0" applyNumberFormat="1" applyBorder="1"/>
    <xf numFmtId="0" fontId="2" fillId="0" borderId="0" xfId="0" applyFont="1" applyAlignment="1">
      <alignment horizontal="left"/>
    </xf>
    <xf numFmtId="164" fontId="0" fillId="0" borderId="0" xfId="1" applyNumberFormat="1" applyFont="1"/>
    <xf numFmtId="0" fontId="2" fillId="6" borderId="16" xfId="0" applyFont="1" applyFill="1" applyBorder="1"/>
    <xf numFmtId="44" fontId="5" fillId="0" borderId="0" xfId="1" applyFont="1" applyAlignment="1">
      <alignment horizontal="right" vertical="top"/>
    </xf>
    <xf numFmtId="44" fontId="5" fillId="0" borderId="0" xfId="1" applyFont="1" applyBorder="1" applyAlignment="1">
      <alignment horizontal="right" vertical="top"/>
    </xf>
    <xf numFmtId="166" fontId="19" fillId="4" borderId="0" xfId="3" applyNumberFormat="1" applyFont="1" applyFill="1" applyBorder="1"/>
    <xf numFmtId="0" fontId="0" fillId="0" borderId="29" xfId="0" applyBorder="1" applyAlignment="1">
      <alignment horizontal="left"/>
    </xf>
    <xf numFmtId="43" fontId="0" fillId="0" borderId="29" xfId="0" applyNumberFormat="1" applyBorder="1"/>
    <xf numFmtId="0" fontId="0" fillId="0" borderId="29" xfId="0" applyBorder="1"/>
    <xf numFmtId="9" fontId="0" fillId="0" borderId="29" xfId="4" applyFont="1" applyBorder="1"/>
    <xf numFmtId="164" fontId="2" fillId="0" borderId="10" xfId="0" applyNumberFormat="1" applyFont="1" applyBorder="1"/>
    <xf numFmtId="14" fontId="0" fillId="0" borderId="0" xfId="3" applyNumberFormat="1" applyFont="1"/>
    <xf numFmtId="14" fontId="0" fillId="0" borderId="0" xfId="0" applyNumberFormat="1"/>
    <xf numFmtId="43" fontId="0" fillId="0" borderId="0" xfId="4" applyNumberFormat="1" applyFont="1"/>
    <xf numFmtId="0" fontId="19" fillId="4" borderId="0" xfId="0" applyFont="1" applyFill="1"/>
    <xf numFmtId="0" fontId="20" fillId="4" borderId="0" xfId="0" applyFont="1" applyFill="1"/>
    <xf numFmtId="166" fontId="19" fillId="4" borderId="0" xfId="0" applyNumberFormat="1" applyFont="1" applyFill="1"/>
    <xf numFmtId="10" fontId="19" fillId="4" borderId="0" xfId="4" applyNumberFormat="1" applyFont="1" applyFill="1" applyBorder="1"/>
    <xf numFmtId="0" fontId="0" fillId="0" borderId="0" xfId="0" applyAlignment="1">
      <alignment horizontal="center"/>
    </xf>
    <xf numFmtId="0" fontId="2" fillId="4" borderId="0" xfId="0" applyFont="1" applyFill="1"/>
    <xf numFmtId="166" fontId="0" fillId="0" borderId="0" xfId="3" applyNumberFormat="1" applyFont="1"/>
    <xf numFmtId="0" fontId="2" fillId="7" borderId="47" xfId="0" applyFont="1" applyFill="1" applyBorder="1"/>
    <xf numFmtId="0" fontId="2" fillId="7" borderId="47" xfId="0" applyFont="1" applyFill="1" applyBorder="1" applyAlignment="1">
      <alignment horizontal="center"/>
    </xf>
    <xf numFmtId="164" fontId="0" fillId="0" borderId="0" xfId="1" applyNumberFormat="1" applyFont="1" applyAlignment="1">
      <alignment horizontal="left"/>
    </xf>
    <xf numFmtId="166" fontId="0" fillId="0" borderId="0" xfId="3" applyNumberFormat="1" applyFont="1" applyAlignment="1">
      <alignment horizontal="left"/>
    </xf>
    <xf numFmtId="0" fontId="14" fillId="4" borderId="0" xfId="0" applyFont="1" applyFill="1" applyAlignment="1">
      <alignment horizontal="left" indent="2"/>
    </xf>
    <xf numFmtId="0" fontId="19" fillId="4" borderId="0" xfId="0" applyFont="1" applyFill="1" applyAlignment="1">
      <alignment horizontal="left" indent="2"/>
    </xf>
    <xf numFmtId="0" fontId="18" fillId="2" borderId="17" xfId="0" applyFont="1" applyFill="1" applyBorder="1" applyAlignment="1">
      <alignment horizontal="center"/>
    </xf>
    <xf numFmtId="0" fontId="18" fillId="2" borderId="18" xfId="0" applyFont="1" applyFill="1" applyBorder="1" applyAlignment="1">
      <alignment horizontal="center"/>
    </xf>
    <xf numFmtId="0" fontId="18" fillId="2" borderId="19" xfId="0" applyFont="1" applyFill="1" applyBorder="1" applyAlignment="1">
      <alignment horizontal="center"/>
    </xf>
    <xf numFmtId="0" fontId="18" fillId="2" borderId="22" xfId="0" applyFont="1" applyFill="1" applyBorder="1" applyAlignment="1">
      <alignment horizontal="center"/>
    </xf>
    <xf numFmtId="0" fontId="18" fillId="2" borderId="23" xfId="0" applyFont="1" applyFill="1" applyBorder="1" applyAlignment="1">
      <alignment horizontal="center"/>
    </xf>
    <xf numFmtId="0" fontId="18" fillId="2" borderId="24" xfId="0" applyFont="1" applyFill="1" applyBorder="1" applyAlignment="1">
      <alignment horizontal="center"/>
    </xf>
    <xf numFmtId="0" fontId="17" fillId="0" borderId="20" xfId="0" applyFont="1" applyBorder="1" applyAlignment="1">
      <alignment horizontal="center" wrapText="1"/>
    </xf>
    <xf numFmtId="0" fontId="17" fillId="0" borderId="0" xfId="0" applyFont="1" applyAlignment="1">
      <alignment horizontal="center" wrapText="1"/>
    </xf>
    <xf numFmtId="0" fontId="17" fillId="0" borderId="21" xfId="0" applyFont="1" applyBorder="1" applyAlignment="1">
      <alignment horizontal="center" wrapText="1"/>
    </xf>
    <xf numFmtId="0" fontId="17" fillId="0" borderId="22" xfId="0" applyFont="1" applyBorder="1" applyAlignment="1">
      <alignment horizontal="center" wrapText="1"/>
    </xf>
    <xf numFmtId="0" fontId="17" fillId="0" borderId="23" xfId="0" applyFont="1" applyBorder="1" applyAlignment="1">
      <alignment horizontal="center" wrapText="1"/>
    </xf>
    <xf numFmtId="0" fontId="17" fillId="0" borderId="24" xfId="0" applyFont="1" applyBorder="1" applyAlignment="1">
      <alignment horizontal="center" wrapText="1"/>
    </xf>
  </cellXfs>
  <cellStyles count="8">
    <cellStyle name="Comma" xfId="3" builtinId="3"/>
    <cellStyle name="Comma 20" xfId="7" xr:uid="{C6A87B04-7097-4095-B10F-1273BB28A1CB}"/>
    <cellStyle name="Currency" xfId="1" builtinId="4"/>
    <cellStyle name="Normal" xfId="0" builtinId="0"/>
    <cellStyle name="Normal 15" xfId="5" xr:uid="{B5F553D1-D71C-40CD-AE14-897A0F7625EE}"/>
    <cellStyle name="Normal 16" xfId="6" xr:uid="{7F1D313C-5950-4112-A9D7-59574CF6062A}"/>
    <cellStyle name="Normal 19" xfId="2" xr:uid="{77F73844-EC8C-4DDE-A71A-C23E0CD2B548}"/>
    <cellStyle name="Percent" xfId="4" builtinId="5"/>
  </cellStyles>
  <dxfs count="10">
    <dxf>
      <alignment horizontal="center"/>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alignment horizontal="center"/>
    </dxf>
    <dxf>
      <font>
        <b/>
        <i val="0"/>
        <sz val="12"/>
        <name val="Aptos Narrow"/>
        <family val="2"/>
        <scheme val="minor"/>
      </font>
    </dxf>
    <dxf>
      <border>
        <left style="medium">
          <color rgb="FF7030A0"/>
        </left>
        <right style="medium">
          <color rgb="FF7030A0"/>
        </right>
        <top style="medium">
          <color rgb="FF7030A0"/>
        </top>
        <bottom style="medium">
          <color rgb="FF7030A0"/>
        </bottom>
      </border>
    </dxf>
  </dxfs>
  <tableStyles count="1" defaultTableStyle="TableStyleMedium2" defaultPivotStyle="PivotStyleLight16">
    <tableStyle name="Slicer Style 1" pivot="0" table="0" count="4" xr9:uid="{6803F124-1D91-48E8-82B7-8CA377AB2C7F}">
      <tableStyleElement type="wholeTable" dxfId="9"/>
      <tableStyleElement type="headerRow" dxfId="8"/>
    </tableStyle>
  </tableStyles>
  <colors>
    <mruColors>
      <color rgb="FF633164"/>
      <color rgb="FFC39BE1"/>
    </mruColors>
  </colors>
  <extLst>
    <ext xmlns:x14="http://schemas.microsoft.com/office/spreadsheetml/2009/9/main" uri="{46F421CA-312F-682f-3DD2-61675219B42D}">
      <x14:dxfs count="2">
        <dxf>
          <font>
            <sz val="12"/>
            <color theme="0"/>
            <name val="Aptos Narrow"/>
            <family val="2"/>
            <scheme val="minor"/>
          </font>
          <fill>
            <patternFill>
              <bgColor rgb="FF633164"/>
            </patternFill>
          </fill>
        </dxf>
        <dxf>
          <font>
            <sz val="12"/>
            <color auto="1"/>
            <name val="Aptos Narrow"/>
            <family val="2"/>
            <scheme val="minor"/>
          </font>
          <fill>
            <patternFill>
              <bgColor theme="2" tint="-9.9948118533890809E-2"/>
            </patternFill>
          </fill>
          <border diagonalUp="0" diagonalDown="0">
            <left/>
            <right/>
            <top/>
            <bottom/>
            <vertical/>
            <horizontal/>
          </border>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microsoft.com/office/2007/relationships/slicerCache" Target="slicerCaches/slicerCache5.xml"/><Relationship Id="rId3" Type="http://schemas.openxmlformats.org/officeDocument/2006/relationships/worksheet" Target="worksheets/sheet3.xml"/><Relationship Id="rId21" Type="http://schemas.openxmlformats.org/officeDocument/2006/relationships/pivotCacheDefinition" Target="pivotCache/pivotCacheDefinition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microsoft.com/office/2007/relationships/slicerCache" Target="slicerCaches/slicerCache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1.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a:t>Assets &amp; Liabilities for FY 25-26</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'Assets &amp; Liabilities Data'!$A$38</c:f>
              <c:strCache>
                <c:ptCount val="1"/>
                <c:pt idx="0">
                  <c:v>      Total Assets</c:v>
                </c:pt>
              </c:strCache>
            </c:strRef>
          </c:tx>
          <c:spPr>
            <a:ln w="22225" cap="rnd" cmpd="sng" algn="ctr">
              <a:solidFill>
                <a:schemeClr val="accent5">
                  <a:shade val="76000"/>
                </a:schemeClr>
              </a:solidFill>
              <a:round/>
            </a:ln>
            <a:effectLst/>
          </c:spPr>
          <c:marker>
            <c:symbol val="none"/>
          </c:marker>
          <c:cat>
            <c:numRef>
              <c:f>'Assets &amp; Liabilities Data'!$B$37:$M$37</c:f>
              <c:numCache>
                <c:formatCode>m/d/yyyy</c:formatCode>
                <c:ptCount val="12"/>
                <c:pt idx="0">
                  <c:v>45504</c:v>
                </c:pt>
                <c:pt idx="1">
                  <c:v>45535</c:v>
                </c:pt>
                <c:pt idx="2">
                  <c:v>45565</c:v>
                </c:pt>
                <c:pt idx="3">
                  <c:v>45596</c:v>
                </c:pt>
                <c:pt idx="4">
                  <c:v>45626</c:v>
                </c:pt>
                <c:pt idx="5">
                  <c:v>45657</c:v>
                </c:pt>
                <c:pt idx="6">
                  <c:v>45688</c:v>
                </c:pt>
                <c:pt idx="7">
                  <c:v>45716</c:v>
                </c:pt>
                <c:pt idx="8">
                  <c:v>45747</c:v>
                </c:pt>
                <c:pt idx="9">
                  <c:v>45777</c:v>
                </c:pt>
                <c:pt idx="10">
                  <c:v>45808</c:v>
                </c:pt>
                <c:pt idx="11">
                  <c:v>45838</c:v>
                </c:pt>
              </c:numCache>
            </c:numRef>
          </c:cat>
          <c:val>
            <c:numRef>
              <c:f>'Assets &amp; Liabilities Data'!$B$38:$M$38</c:f>
              <c:numCache>
                <c:formatCode>_("$"* #,##0_);_("$"* \(#,##0\);_("$"* "-"??_);_(@_)</c:formatCode>
                <c:ptCount val="12"/>
                <c:pt idx="0">
                  <c:v>55352664</c:v>
                </c:pt>
                <c:pt idx="1">
                  <c:v>55374021</c:v>
                </c:pt>
                <c:pt idx="2">
                  <c:v>55563505</c:v>
                </c:pt>
                <c:pt idx="3">
                  <c:v>55536381</c:v>
                </c:pt>
                <c:pt idx="4">
                  <c:v>56858526</c:v>
                </c:pt>
                <c:pt idx="5">
                  <c:v>56946854</c:v>
                </c:pt>
                <c:pt idx="6">
                  <c:v>57179465</c:v>
                </c:pt>
                <c:pt idx="7">
                  <c:v>57473158</c:v>
                </c:pt>
                <c:pt idx="8">
                  <c:v>57657769</c:v>
                </c:pt>
                <c:pt idx="9">
                  <c:v>58524098</c:v>
                </c:pt>
                <c:pt idx="10">
                  <c:v>58289904</c:v>
                </c:pt>
                <c:pt idx="11">
                  <c:v>58918404</c:v>
                </c:pt>
              </c:numCache>
            </c:numRef>
          </c:val>
          <c:smooth val="0"/>
          <c:extLst>
            <c:ext xmlns:c16="http://schemas.microsoft.com/office/drawing/2014/chart" uri="{C3380CC4-5D6E-409C-BE32-E72D297353CC}">
              <c16:uniqueId val="{00000000-811D-49D7-AF1F-FF81C352284B}"/>
            </c:ext>
          </c:extLst>
        </c:ser>
        <c:ser>
          <c:idx val="1"/>
          <c:order val="1"/>
          <c:tx>
            <c:strRef>
              <c:f>'Assets &amp; Liabilities Data'!$A$39</c:f>
              <c:strCache>
                <c:ptCount val="1"/>
                <c:pt idx="0">
                  <c:v>      Total Liabilities</c:v>
                </c:pt>
              </c:strCache>
            </c:strRef>
          </c:tx>
          <c:spPr>
            <a:ln w="22225" cap="rnd" cmpd="sng" algn="ctr">
              <a:solidFill>
                <a:schemeClr val="accent5">
                  <a:tint val="77000"/>
                </a:schemeClr>
              </a:solidFill>
              <a:round/>
            </a:ln>
            <a:effectLst/>
          </c:spPr>
          <c:marker>
            <c:symbol val="none"/>
          </c:marker>
          <c:cat>
            <c:numRef>
              <c:f>'Assets &amp; Liabilities Data'!$B$37:$M$37</c:f>
              <c:numCache>
                <c:formatCode>m/d/yyyy</c:formatCode>
                <c:ptCount val="12"/>
                <c:pt idx="0">
                  <c:v>45504</c:v>
                </c:pt>
                <c:pt idx="1">
                  <c:v>45535</c:v>
                </c:pt>
                <c:pt idx="2">
                  <c:v>45565</c:v>
                </c:pt>
                <c:pt idx="3">
                  <c:v>45596</c:v>
                </c:pt>
                <c:pt idx="4">
                  <c:v>45626</c:v>
                </c:pt>
                <c:pt idx="5">
                  <c:v>45657</c:v>
                </c:pt>
                <c:pt idx="6">
                  <c:v>45688</c:v>
                </c:pt>
                <c:pt idx="7">
                  <c:v>45716</c:v>
                </c:pt>
                <c:pt idx="8">
                  <c:v>45747</c:v>
                </c:pt>
                <c:pt idx="9">
                  <c:v>45777</c:v>
                </c:pt>
                <c:pt idx="10">
                  <c:v>45808</c:v>
                </c:pt>
                <c:pt idx="11">
                  <c:v>45838</c:v>
                </c:pt>
              </c:numCache>
            </c:numRef>
          </c:cat>
          <c:val>
            <c:numRef>
              <c:f>'Assets &amp; Liabilities Data'!$B$39:$M$39</c:f>
              <c:numCache>
                <c:formatCode>_("$"* #,##0_);_("$"* \(#,##0\);_("$"* "-"??_);_(@_)</c:formatCode>
                <c:ptCount val="12"/>
                <c:pt idx="0">
                  <c:v>1861715</c:v>
                </c:pt>
                <c:pt idx="1">
                  <c:v>2031442</c:v>
                </c:pt>
                <c:pt idx="2">
                  <c:v>2076554</c:v>
                </c:pt>
                <c:pt idx="3">
                  <c:v>1903904</c:v>
                </c:pt>
                <c:pt idx="4">
                  <c:v>1467416</c:v>
                </c:pt>
                <c:pt idx="5">
                  <c:v>1571334</c:v>
                </c:pt>
                <c:pt idx="6">
                  <c:v>1670085</c:v>
                </c:pt>
                <c:pt idx="7">
                  <c:v>1650147</c:v>
                </c:pt>
                <c:pt idx="8">
                  <c:v>1853100</c:v>
                </c:pt>
                <c:pt idx="9">
                  <c:v>2288818</c:v>
                </c:pt>
                <c:pt idx="10">
                  <c:v>1924801</c:v>
                </c:pt>
                <c:pt idx="11">
                  <c:v>2037220</c:v>
                </c:pt>
              </c:numCache>
            </c:numRef>
          </c:val>
          <c:smooth val="0"/>
          <c:extLst>
            <c:ext xmlns:c16="http://schemas.microsoft.com/office/drawing/2014/chart" uri="{C3380CC4-5D6E-409C-BE32-E72D297353CC}">
              <c16:uniqueId val="{00000001-811D-49D7-AF1F-FF81C352284B}"/>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002959440"/>
        <c:axId val="1002965680"/>
      </c:lineChart>
      <c:catAx>
        <c:axId val="1002959440"/>
        <c:scaling>
          <c:orientation val="minMax"/>
        </c:scaling>
        <c:delete val="0"/>
        <c:axPos val="b"/>
        <c:numFmt formatCode="m/d/yy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002965680"/>
        <c:crosses val="autoZero"/>
        <c:auto val="0"/>
        <c:lblAlgn val="ctr"/>
        <c:lblOffset val="100"/>
        <c:noMultiLvlLbl val="0"/>
      </c:catAx>
      <c:valAx>
        <c:axId val="1002965680"/>
        <c:scaling>
          <c:orientation val="minMax"/>
          <c:max val="61000000"/>
          <c:min val="1000000"/>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002959440"/>
        <c:crosses val="autoZero"/>
        <c:crossBetween val="between"/>
        <c:majorUnit val="5000000"/>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r>
              <a:rPr lang="en-US" b="1"/>
              <a:t>Total Revenue to 06/30/25</a:t>
            </a:r>
          </a:p>
        </c:rich>
      </c:tx>
      <c:overlay val="0"/>
      <c:spPr>
        <a:noFill/>
        <a:ln>
          <a:noFill/>
        </a:ln>
        <a:effectLst/>
      </c:spPr>
      <c:txPr>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5DF-48E8-99B3-270CADD5C25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5DF-48E8-99B3-270CADD5C25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5DF-48E8-99B3-270CADD5C25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5DF-48E8-99B3-270CADD5C25B}"/>
              </c:ext>
            </c:extLst>
          </c:dPt>
          <c:dLbls>
            <c:dLbl>
              <c:idx val="0"/>
              <c:layout>
                <c:manualLayout>
                  <c:x val="1.0827532078055764E-2"/>
                  <c:y val="-6.15905048406928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DF-48E8-99B3-270CADD5C25B}"/>
                </c:ext>
              </c:extLst>
            </c:dLbl>
            <c:dLbl>
              <c:idx val="1"/>
              <c:layout>
                <c:manualLayout>
                  <c:x val="1.7324051324889223E-2"/>
                  <c:y val="2.842638684955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DF-48E8-99B3-270CADD5C25B}"/>
                </c:ext>
              </c:extLst>
            </c:dLbl>
            <c:dLbl>
              <c:idx val="3"/>
              <c:numFmt formatCode="0.0%" sourceLinked="0"/>
              <c:spPr>
                <a:solidFill>
                  <a:schemeClr val="lt1"/>
                </a:solid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lang="en-US"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7-65DF-48E8-99B3-270CADD5C25B}"/>
                </c:ext>
              </c:extLst>
            </c:dLbl>
            <c:numFmt formatCode="0.0%" sourceLinked="0"/>
            <c:spPr>
              <a:solidFill>
                <a:schemeClr val="lt1"/>
              </a:solid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lang="en-US"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'Revenue Data'!$A$18:$A$21</c:f>
              <c:strCache>
                <c:ptCount val="4"/>
                <c:pt idx="0">
                  <c:v>Contributions, foundations, trusts and bequests</c:v>
                </c:pt>
                <c:pt idx="1">
                  <c:v>Other Revenue and Support</c:v>
                </c:pt>
                <c:pt idx="2">
                  <c:v>Grants</c:v>
                </c:pt>
                <c:pt idx="3">
                  <c:v>Contributed facilities, goods and services</c:v>
                </c:pt>
              </c:strCache>
            </c:strRef>
          </c:cat>
          <c:val>
            <c:numRef>
              <c:f>'Revenue Data'!$B$18:$B$21</c:f>
              <c:numCache>
                <c:formatCode>_(* #,##0.00_);_(* \(#,##0.00\);_(* "-"??_);_(@_)</c:formatCode>
                <c:ptCount val="4"/>
                <c:pt idx="0">
                  <c:v>3888106</c:v>
                </c:pt>
                <c:pt idx="1">
                  <c:v>828877</c:v>
                </c:pt>
                <c:pt idx="2">
                  <c:v>33836007</c:v>
                </c:pt>
                <c:pt idx="3">
                  <c:v>11237958</c:v>
                </c:pt>
              </c:numCache>
            </c:numRef>
          </c:val>
          <c:extLst>
            <c:ext xmlns:c16="http://schemas.microsoft.com/office/drawing/2014/chart" uri="{C3380CC4-5D6E-409C-BE32-E72D297353CC}">
              <c16:uniqueId val="{00000008-65DF-48E8-99B3-270CADD5C25B}"/>
            </c:ext>
          </c:extLst>
        </c:ser>
        <c:dLbls>
          <c:showLegendKey val="0"/>
          <c:showVal val="0"/>
          <c:showCatName val="0"/>
          <c:showSerName val="0"/>
          <c:showPercent val="1"/>
          <c:showBubbleSize val="0"/>
          <c:showLeaderLines val="1"/>
        </c:dLbls>
        <c:firstSliceAng val="0"/>
        <c:holeSize val="60"/>
      </c:doughnutChart>
      <c:spPr>
        <a:noFill/>
        <a:ln>
          <a:noFill/>
        </a:ln>
        <a:effectLst/>
      </c:spPr>
    </c:plotArea>
    <c:legend>
      <c:legendPos val="r"/>
      <c:layout>
        <c:manualLayout>
          <c:xMode val="edge"/>
          <c:yMode val="edge"/>
          <c:x val="0.55686286580266831"/>
          <c:y val="0.23124716482230898"/>
          <c:w val="0.42996066426008761"/>
          <c:h val="0.5449674103785410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1200" b="1"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25000"/>
          <a:lumOff val="75000"/>
        </a:schemeClr>
      </a:solidFill>
      <a:round/>
    </a:ln>
    <a:effectLst/>
  </c:spPr>
  <c:txPr>
    <a:bodyPr/>
    <a:lstStyle/>
    <a:p>
      <a:pPr>
        <a:defRPr lang="en-US" sz="12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r>
              <a:rPr lang="en-US" b="1"/>
              <a:t>Total Expenses to 06/30/25</a:t>
            </a:r>
          </a:p>
        </c:rich>
      </c:tx>
      <c:overlay val="0"/>
      <c:spPr>
        <a:noFill/>
        <a:ln>
          <a:noFill/>
        </a:ln>
        <a:effectLst/>
      </c:spPr>
      <c:txPr>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ED4-413A-AF49-3FD1625E4EB6}"/>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ED4-413A-AF49-3FD1625E4EB6}"/>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ED4-413A-AF49-3FD1625E4EB6}"/>
              </c:ext>
            </c:extLst>
          </c:dPt>
          <c:dLbls>
            <c:dLbl>
              <c:idx val="0"/>
              <c:spPr>
                <a:solidFill>
                  <a:schemeClr val="bg1">
                    <a:lumMod val="95000"/>
                  </a:schemeClr>
                </a:solidFill>
                <a:ln>
                  <a:noFill/>
                </a:ln>
                <a:effectLst>
                  <a:outerShdw blurRad="50800" dist="38100" dir="2700000" algn="tl" rotWithShape="0">
                    <a:prstClr val="black">
                      <a:alpha val="40000"/>
                    </a:prstClr>
                  </a:outerShdw>
                </a:effectLst>
              </c:spPr>
              <c:txPr>
                <a:bodyPr rot="0" spcFirstLastPara="1" vertOverflow="ellipsis" vert="horz" wrap="square" anchor="ctr" anchorCtr="0"/>
                <a:lstStyle/>
                <a:p>
                  <a:pPr algn="ctr">
                    <a:defRPr lang="en-US"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1-EED4-413A-AF49-3FD1625E4EB6}"/>
                </c:ext>
              </c:extLst>
            </c:dLbl>
            <c:spPr>
              <a:solidFill>
                <a:schemeClr val="bg1">
                  <a:lumMod val="95000"/>
                </a:schemeClr>
              </a:solidFill>
              <a:ln>
                <a:noFill/>
              </a:ln>
              <a:effectLst>
                <a:outerShdw blurRad="50800" dist="38100" dir="2700000" algn="tl" rotWithShape="0">
                  <a:prstClr val="black">
                    <a:alpha val="40000"/>
                  </a:prstClr>
                </a:outerShdw>
              </a:effectLst>
            </c:spPr>
            <c:txPr>
              <a:bodyPr rot="0" spcFirstLastPara="1" vertOverflow="ellipsis" vert="horz" wrap="square" anchor="ctr" anchorCtr="0"/>
              <a:lstStyle/>
              <a:p>
                <a:pPr algn="ctr">
                  <a:defRPr lang="en-US"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'Expenses Data'!$A$10:$A$12</c:f>
              <c:strCache>
                <c:ptCount val="3"/>
                <c:pt idx="0">
                  <c:v>Community Based Services</c:v>
                </c:pt>
                <c:pt idx="1">
                  <c:v>Child Development Services</c:v>
                </c:pt>
                <c:pt idx="2">
                  <c:v>General Admin, Fund Raising &amp; Ministries</c:v>
                </c:pt>
              </c:strCache>
            </c:strRef>
          </c:cat>
          <c:val>
            <c:numRef>
              <c:f>'Expenses Data'!$B$10:$B$12</c:f>
              <c:numCache>
                <c:formatCode>_(* #,##0.00_);_(* \(#,##0.00\);_(* "-"??_);_(@_)</c:formatCode>
                <c:ptCount val="3"/>
                <c:pt idx="0">
                  <c:v>23829994</c:v>
                </c:pt>
                <c:pt idx="1">
                  <c:v>18814433</c:v>
                </c:pt>
                <c:pt idx="2">
                  <c:v>5124819</c:v>
                </c:pt>
              </c:numCache>
            </c:numRef>
          </c:val>
          <c:extLst>
            <c:ext xmlns:c16="http://schemas.microsoft.com/office/drawing/2014/chart" uri="{C3380CC4-5D6E-409C-BE32-E72D297353CC}">
              <c16:uniqueId val="{00000006-EED4-413A-AF49-3FD1625E4EB6}"/>
            </c:ext>
          </c:extLst>
        </c:ser>
        <c:dLbls>
          <c:showLegendKey val="0"/>
          <c:showVal val="0"/>
          <c:showCatName val="0"/>
          <c:showSerName val="0"/>
          <c:showPercent val="1"/>
          <c:showBubbleSize val="0"/>
          <c:showLeaderLines val="0"/>
        </c:dLbls>
        <c:firstSliceAng val="0"/>
        <c:holeSize val="60"/>
      </c:doughnutChart>
      <c:spPr>
        <a:noFill/>
        <a:ln>
          <a:noFill/>
        </a:ln>
        <a:effectLst/>
      </c:spPr>
    </c:plotArea>
    <c:legend>
      <c:legendPos val="r"/>
      <c:layout>
        <c:manualLayout>
          <c:xMode val="edge"/>
          <c:yMode val="edge"/>
          <c:x val="0.57861645903198733"/>
          <c:y val="0.25359871682706325"/>
          <c:w val="0.39276718593247023"/>
          <c:h val="0.5186125692621755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1200" b="1"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lang="en-US" sz="12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7"/>
    </mc:Choice>
    <mc:Fallback>
      <c:style val="7"/>
    </mc:Fallback>
  </mc:AlternateContent>
  <c:pivotSource>
    <c:name>[Finance Dashboard FY 24-25.xlsx]Pv Cash!PivotTable3</c:name>
    <c:fmtId val="7"/>
  </c:pivotSource>
  <c:chart>
    <c:title>
      <c:tx>
        <c:rich>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r>
              <a:rPr lang="en-US" b="1"/>
              <a:t>Cash Analysis for FY 24-25</a:t>
            </a:r>
          </a:p>
        </c:rich>
      </c:tx>
      <c:overlay val="0"/>
      <c:spPr>
        <a:noFill/>
        <a:ln>
          <a:noFill/>
        </a:ln>
        <a:effectLst/>
      </c:spPr>
      <c:txPr>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endParaRPr lang="en-US"/>
        </a:p>
      </c:txPr>
    </c:title>
    <c:autoTitleDeleted val="0"/>
    <c:pivotFmts>
      <c:pivotFmt>
        <c:idx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31750" cap="rnd">
            <a:solidFill>
              <a:srgbClr val="633164"/>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31750" cap="rnd">
            <a:solidFill>
              <a:srgbClr val="633164"/>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31750" cap="rnd">
            <a:solidFill>
              <a:srgbClr val="633164"/>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31750" cap="rnd">
            <a:solidFill>
              <a:srgbClr val="633164"/>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200" b="0"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'Pv Cash'!$B$3</c:f>
              <c:strCache>
                <c:ptCount val="1"/>
                <c:pt idx="0">
                  <c:v>Total</c:v>
                </c:pt>
              </c:strCache>
            </c:strRef>
          </c:tx>
          <c:spPr>
            <a:ln w="31750" cap="rnd">
              <a:solidFill>
                <a:srgbClr val="633164"/>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cat>
            <c:strRef>
              <c:f>'Pv Cash'!$A$4:$A$15</c:f>
              <c:strCache>
                <c:ptCount val="12"/>
                <c:pt idx="0">
                  <c:v>7/31/24</c:v>
                </c:pt>
                <c:pt idx="1">
                  <c:v>08/31/24</c:v>
                </c:pt>
                <c:pt idx="2">
                  <c:v>09/30/24</c:v>
                </c:pt>
                <c:pt idx="3">
                  <c:v>10/31/24</c:v>
                </c:pt>
                <c:pt idx="4">
                  <c:v>11/30/24</c:v>
                </c:pt>
                <c:pt idx="5">
                  <c:v>12/31/24</c:v>
                </c:pt>
                <c:pt idx="6">
                  <c:v>1/31/25</c:v>
                </c:pt>
                <c:pt idx="7">
                  <c:v>2/28/25</c:v>
                </c:pt>
                <c:pt idx="8">
                  <c:v>3/31/25</c:v>
                </c:pt>
                <c:pt idx="9">
                  <c:v>4/30/25</c:v>
                </c:pt>
                <c:pt idx="10">
                  <c:v>5/31/25</c:v>
                </c:pt>
                <c:pt idx="11">
                  <c:v>6/30/25</c:v>
                </c:pt>
              </c:strCache>
            </c:strRef>
          </c:cat>
          <c:val>
            <c:numRef>
              <c:f>'Pv Cash'!$B$4:$B$15</c:f>
              <c:numCache>
                <c:formatCode>_("$"* #,##0.00_);_("$"* \(#,##0.00\);_("$"* "-"??_);_(@_)</c:formatCode>
                <c:ptCount val="12"/>
                <c:pt idx="0">
                  <c:v>18763770</c:v>
                </c:pt>
                <c:pt idx="1">
                  <c:v>19932239</c:v>
                </c:pt>
                <c:pt idx="2">
                  <c:v>19770221</c:v>
                </c:pt>
                <c:pt idx="3">
                  <c:v>20698756</c:v>
                </c:pt>
                <c:pt idx="4">
                  <c:v>18698420</c:v>
                </c:pt>
                <c:pt idx="5">
                  <c:v>19853317</c:v>
                </c:pt>
                <c:pt idx="6">
                  <c:v>18716238</c:v>
                </c:pt>
                <c:pt idx="7">
                  <c:v>20048315</c:v>
                </c:pt>
                <c:pt idx="8">
                  <c:v>19584173</c:v>
                </c:pt>
                <c:pt idx="9">
                  <c:v>19136840</c:v>
                </c:pt>
                <c:pt idx="10">
                  <c:v>20771608</c:v>
                </c:pt>
                <c:pt idx="11">
                  <c:v>21609755</c:v>
                </c:pt>
              </c:numCache>
            </c:numRef>
          </c:val>
          <c:smooth val="0"/>
          <c:extLst>
            <c:ext xmlns:c16="http://schemas.microsoft.com/office/drawing/2014/chart" uri="{C3380CC4-5D6E-409C-BE32-E72D297353CC}">
              <c16:uniqueId val="{00000000-B8FA-45DA-BB2E-66E14362C37A}"/>
            </c:ext>
          </c:extLst>
        </c:ser>
        <c:dLbls>
          <c:showLegendKey val="0"/>
          <c:showVal val="0"/>
          <c:showCatName val="0"/>
          <c:showSerName val="0"/>
          <c:showPercent val="0"/>
          <c:showBubbleSize val="0"/>
        </c:dLbls>
        <c:marker val="1"/>
        <c:smooth val="0"/>
        <c:axId val="1412614752"/>
        <c:axId val="1412619552"/>
      </c:lineChart>
      <c:catAx>
        <c:axId val="141261475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crossAx val="1412619552"/>
        <c:crosses val="autoZero"/>
        <c:auto val="1"/>
        <c:lblAlgn val="ctr"/>
        <c:lblOffset val="100"/>
        <c:noMultiLvlLbl val="0"/>
      </c:catAx>
      <c:valAx>
        <c:axId val="141261955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crossAx val="14126147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lang="en-US" sz="12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ctr" rtl="0">
              <a:defRPr lang="en-US" sz="1440" b="1" i="0" u="none" strike="noStrike" kern="1200" cap="none" spc="50" normalizeH="0" baseline="0">
                <a:solidFill>
                  <a:sysClr val="windowText" lastClr="000000"/>
                </a:solidFill>
                <a:latin typeface="+mn-lt"/>
                <a:ea typeface="+mn-ea"/>
                <a:cs typeface="+mn-cs"/>
              </a:defRPr>
            </a:pPr>
            <a:r>
              <a:rPr lang="en-US" b="1"/>
              <a:t>Months of Liquid Unrestricted Net Assets (LUNA)</a:t>
            </a:r>
          </a:p>
        </c:rich>
      </c:tx>
      <c:overlay val="0"/>
      <c:spPr>
        <a:noFill/>
        <a:ln>
          <a:noFill/>
        </a:ln>
        <a:effectLst/>
      </c:spPr>
      <c:txPr>
        <a:bodyPr rot="0" spcFirstLastPara="1" vertOverflow="ellipsis" vert="horz" wrap="square" anchor="ctr" anchorCtr="1"/>
        <a:lstStyle/>
        <a:p>
          <a:pPr algn="ctr" rtl="0">
            <a:defRPr lang="en-US" sz="1440" b="1" i="0" u="none" strike="noStrike" kern="1200" cap="none" spc="50" normalizeH="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'Luna Analysis'!$A$26</c:f>
              <c:strCache>
                <c:ptCount val="1"/>
                <c:pt idx="0">
                  <c:v>Months of Unrestricted Net Assets (LUNA)</c:v>
                </c:pt>
              </c:strCache>
            </c:strRef>
          </c:tx>
          <c:spPr>
            <a:solidFill>
              <a:srgbClr val="633164">
                <a:alpha val="70000"/>
              </a:srgbClr>
            </a:solidFill>
            <a:ln>
              <a:noFill/>
            </a:ln>
            <a:effectLst/>
          </c:spPr>
          <c:invertIfNegative val="0"/>
          <c:dLbls>
            <c:spPr>
              <a:no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15875" cap="rnd">
                <a:solidFill>
                  <a:schemeClr val="accent5"/>
                </a:solidFill>
              </a:ln>
              <a:effectLst/>
            </c:spPr>
            <c:trendlineType val="linear"/>
            <c:dispRSqr val="0"/>
            <c:dispEq val="0"/>
          </c:trendline>
          <c:cat>
            <c:numRef>
              <c:f>'Luna Analysis'!$B$25:$M$25</c:f>
              <c:numCache>
                <c:formatCode>m/d/yyyy</c:formatCode>
                <c:ptCount val="12"/>
                <c:pt idx="0">
                  <c:v>45504</c:v>
                </c:pt>
                <c:pt idx="1">
                  <c:v>45535</c:v>
                </c:pt>
                <c:pt idx="2">
                  <c:v>45565</c:v>
                </c:pt>
                <c:pt idx="3">
                  <c:v>45596</c:v>
                </c:pt>
                <c:pt idx="4">
                  <c:v>45626</c:v>
                </c:pt>
                <c:pt idx="5">
                  <c:v>45657</c:v>
                </c:pt>
                <c:pt idx="6">
                  <c:v>45688</c:v>
                </c:pt>
                <c:pt idx="7">
                  <c:v>45716</c:v>
                </c:pt>
                <c:pt idx="8">
                  <c:v>45747</c:v>
                </c:pt>
                <c:pt idx="9">
                  <c:v>45777</c:v>
                </c:pt>
                <c:pt idx="10">
                  <c:v>45808</c:v>
                </c:pt>
                <c:pt idx="11">
                  <c:v>45838</c:v>
                </c:pt>
              </c:numCache>
            </c:numRef>
          </c:cat>
          <c:val>
            <c:numRef>
              <c:f>'Luna Analysis'!$B$26:$M$26</c:f>
              <c:numCache>
                <c:formatCode>_(* #,##0.00_);_(* \(#,##0.00\);_(* "-"??_);_(@_)</c:formatCode>
                <c:ptCount val="12"/>
                <c:pt idx="0">
                  <c:v>5.1104748261310267</c:v>
                </c:pt>
                <c:pt idx="1">
                  <c:v>4.7356135496612559</c:v>
                </c:pt>
                <c:pt idx="2">
                  <c:v>4.6610720234832392</c:v>
                </c:pt>
                <c:pt idx="3">
                  <c:v>4.6916409376018375</c:v>
                </c:pt>
                <c:pt idx="4">
                  <c:v>4.5684333448553529</c:v>
                </c:pt>
                <c:pt idx="5">
                  <c:v>4.5673377847014303</c:v>
                </c:pt>
                <c:pt idx="6">
                  <c:v>4.5334383969421204</c:v>
                </c:pt>
                <c:pt idx="7">
                  <c:v>4.6608833445814239</c:v>
                </c:pt>
                <c:pt idx="8">
                  <c:v>4.6343798458031502</c:v>
                </c:pt>
                <c:pt idx="9">
                  <c:v>4.7999254809251797</c:v>
                </c:pt>
                <c:pt idx="10">
                  <c:v>4.8606508518113047</c:v>
                </c:pt>
                <c:pt idx="11">
                  <c:v>4.9138846816261372</c:v>
                </c:pt>
              </c:numCache>
            </c:numRef>
          </c:val>
          <c:extLst>
            <c:ext xmlns:c16="http://schemas.microsoft.com/office/drawing/2014/chart" uri="{C3380CC4-5D6E-409C-BE32-E72D297353CC}">
              <c16:uniqueId val="{00000001-161B-4A78-A50E-B1FBC47C905C}"/>
            </c:ext>
          </c:extLst>
        </c:ser>
        <c:dLbls>
          <c:dLblPos val="outEnd"/>
          <c:showLegendKey val="0"/>
          <c:showVal val="1"/>
          <c:showCatName val="0"/>
          <c:showSerName val="0"/>
          <c:showPercent val="0"/>
          <c:showBubbleSize val="0"/>
        </c:dLbls>
        <c:gapWidth val="80"/>
        <c:overlap val="25"/>
        <c:axId val="619704719"/>
        <c:axId val="619696079"/>
      </c:barChart>
      <c:catAx>
        <c:axId val="619704719"/>
        <c:scaling>
          <c:orientation val="minMax"/>
        </c:scaling>
        <c:delete val="0"/>
        <c:axPos val="b"/>
        <c:title>
          <c:tx>
            <c:rich>
              <a:bodyPr rot="0" spcFirstLastPara="1" vertOverflow="ellipsis" vert="horz" wrap="square" anchor="ctr" anchorCtr="1"/>
              <a:lstStyle/>
              <a:p>
                <a:pPr>
                  <a:defRPr lang="en-US" sz="1200" b="0" i="0" u="none" strike="noStrike" kern="1200" cap="all" baseline="0">
                    <a:solidFill>
                      <a:sysClr val="windowText" lastClr="000000"/>
                    </a:solidFill>
                    <a:latin typeface="+mn-lt"/>
                    <a:ea typeface="+mn-ea"/>
                    <a:cs typeface="+mn-cs"/>
                  </a:defRPr>
                </a:pPr>
                <a:r>
                  <a:rPr lang="en-US"/>
                  <a:t>Date</a:t>
                </a:r>
              </a:p>
            </c:rich>
          </c:tx>
          <c:overlay val="0"/>
          <c:spPr>
            <a:noFill/>
            <a:ln>
              <a:noFill/>
            </a:ln>
            <a:effectLst/>
          </c:spPr>
          <c:txPr>
            <a:bodyPr rot="0" spcFirstLastPara="1" vertOverflow="ellipsis" vert="horz" wrap="square" anchor="ctr" anchorCtr="1"/>
            <a:lstStyle/>
            <a:p>
              <a:pPr>
                <a:defRPr lang="en-US" sz="1200" b="0" i="0" u="none" strike="noStrike" kern="1200" cap="all" baseline="0">
                  <a:solidFill>
                    <a:sysClr val="windowText" lastClr="000000"/>
                  </a:solidFill>
                  <a:latin typeface="+mn-lt"/>
                  <a:ea typeface="+mn-ea"/>
                  <a:cs typeface="+mn-cs"/>
                </a:defRPr>
              </a:pPr>
              <a:endParaRPr lang="en-US"/>
            </a:p>
          </c:txPr>
        </c:title>
        <c:numFmt formatCode="m/d/yyyy"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200" b="0" i="0" u="none" strike="noStrike" kern="1200" cap="none" spc="20" normalizeH="0" baseline="0">
                <a:solidFill>
                  <a:sysClr val="windowText" lastClr="000000"/>
                </a:solidFill>
                <a:latin typeface="+mn-lt"/>
                <a:ea typeface="+mn-ea"/>
                <a:cs typeface="+mn-cs"/>
              </a:defRPr>
            </a:pPr>
            <a:endParaRPr lang="en-US"/>
          </a:p>
        </c:txPr>
        <c:crossAx val="619696079"/>
        <c:crosses val="autoZero"/>
        <c:auto val="0"/>
        <c:lblAlgn val="ctr"/>
        <c:lblOffset val="100"/>
        <c:noMultiLvlLbl val="0"/>
      </c:catAx>
      <c:valAx>
        <c:axId val="619696079"/>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lang="en-US" sz="1200" b="0" i="0" u="none" strike="noStrike" kern="1200" cap="all" baseline="0">
                    <a:solidFill>
                      <a:sysClr val="windowText" lastClr="000000"/>
                    </a:solidFill>
                    <a:latin typeface="+mn-lt"/>
                    <a:ea typeface="+mn-ea"/>
                    <a:cs typeface="+mn-cs"/>
                  </a:defRPr>
                </a:pPr>
                <a:r>
                  <a:rPr lang="en-US"/>
                  <a:t>Number of Months</a:t>
                </a:r>
              </a:p>
            </c:rich>
          </c:tx>
          <c:overlay val="0"/>
          <c:spPr>
            <a:noFill/>
            <a:ln>
              <a:noFill/>
            </a:ln>
            <a:effectLst/>
          </c:spPr>
          <c:txPr>
            <a:bodyPr rot="-5400000" spcFirstLastPara="1" vertOverflow="ellipsis" vert="horz" wrap="square" anchor="ctr" anchorCtr="1"/>
            <a:lstStyle/>
            <a:p>
              <a:pPr>
                <a:defRPr lang="en-US" sz="1200" b="0" i="0" u="none" strike="noStrike" kern="1200" cap="all" baseline="0">
                  <a:solidFill>
                    <a:sysClr val="windowText" lastClr="000000"/>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spc="20" baseline="0">
                <a:solidFill>
                  <a:sysClr val="windowText" lastClr="000000"/>
                </a:solidFill>
                <a:latin typeface="+mn-lt"/>
                <a:ea typeface="+mn-ea"/>
                <a:cs typeface="+mn-cs"/>
              </a:defRPr>
            </a:pPr>
            <a:endParaRPr lang="en-US"/>
          </a:p>
        </c:txPr>
        <c:crossAx val="6197047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lang="en-US" sz="12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r>
              <a:rPr lang="en-US" b="1"/>
              <a:t>Months of Unrestricted Cash </a:t>
            </a:r>
          </a:p>
        </c:rich>
      </c:tx>
      <c:overlay val="0"/>
      <c:spPr>
        <a:noFill/>
        <a:ln>
          <a:noFill/>
        </a:ln>
        <a:effectLst/>
      </c:spPr>
      <c:txPr>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'Months of Unrestricted Cash'!$B$15</c:f>
              <c:strCache>
                <c:ptCount val="1"/>
                <c:pt idx="0">
                  <c:v>Months of Unrestricted Cash</c:v>
                </c:pt>
              </c:strCache>
            </c:strRef>
          </c:tx>
          <c:spPr>
            <a:solidFill>
              <a:srgbClr val="633164"/>
            </a:solidFill>
            <a:ln>
              <a:noFill/>
            </a:ln>
            <a:effectLst/>
          </c:spPr>
          <c:invertIfNegative val="0"/>
          <c:dLbls>
            <c:spPr>
              <a:no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'Months of Unrestricted Cash'!$A$16:$A$27</c:f>
              <c:numCache>
                <c:formatCode>m/d/yyyy</c:formatCode>
                <c:ptCount val="12"/>
                <c:pt idx="0">
                  <c:v>45504</c:v>
                </c:pt>
                <c:pt idx="1">
                  <c:v>45535</c:v>
                </c:pt>
                <c:pt idx="2">
                  <c:v>45565</c:v>
                </c:pt>
                <c:pt idx="3">
                  <c:v>45596</c:v>
                </c:pt>
                <c:pt idx="4">
                  <c:v>45626</c:v>
                </c:pt>
                <c:pt idx="5">
                  <c:v>45657</c:v>
                </c:pt>
                <c:pt idx="6">
                  <c:v>45688</c:v>
                </c:pt>
                <c:pt idx="7">
                  <c:v>45716</c:v>
                </c:pt>
                <c:pt idx="8">
                  <c:v>45747</c:v>
                </c:pt>
                <c:pt idx="9">
                  <c:v>45777</c:v>
                </c:pt>
                <c:pt idx="10">
                  <c:v>45808</c:v>
                </c:pt>
                <c:pt idx="11">
                  <c:v>45838</c:v>
                </c:pt>
              </c:numCache>
            </c:numRef>
          </c:cat>
          <c:val>
            <c:numRef>
              <c:f>'Months of Unrestricted Cash'!$B$16:$B$27</c:f>
              <c:numCache>
                <c:formatCode>_(* #,##0.00_);_(* \(#,##0.00\);_(* "-"??_);_(@_)</c:formatCode>
                <c:ptCount val="12"/>
                <c:pt idx="0">
                  <c:v>3.9399688997331022</c:v>
                </c:pt>
                <c:pt idx="1">
                  <c:v>3.9969100393181547</c:v>
                </c:pt>
                <c:pt idx="2">
                  <c:v>3.8655619024801635</c:v>
                </c:pt>
                <c:pt idx="3">
                  <c:v>4.1132668137834223</c:v>
                </c:pt>
                <c:pt idx="4">
                  <c:v>3.5097919266330462</c:v>
                </c:pt>
                <c:pt idx="5">
                  <c:v>3.7852325204026136</c:v>
                </c:pt>
                <c:pt idx="6">
                  <c:v>3.4680745831577893</c:v>
                </c:pt>
                <c:pt idx="7">
                  <c:v>3.8260355829660173</c:v>
                </c:pt>
                <c:pt idx="8">
                  <c:v>3.7361970580545414</c:v>
                </c:pt>
                <c:pt idx="9">
                  <c:v>3.6593700031144905</c:v>
                </c:pt>
                <c:pt idx="10">
                  <c:v>4.0718043921880662</c:v>
                </c:pt>
                <c:pt idx="11">
                  <c:v>4.3405485462111528</c:v>
                </c:pt>
              </c:numCache>
            </c:numRef>
          </c:val>
          <c:extLst>
            <c:ext xmlns:c16="http://schemas.microsoft.com/office/drawing/2014/chart" uri="{C3380CC4-5D6E-409C-BE32-E72D297353CC}">
              <c16:uniqueId val="{00000000-A5AF-4786-BAEC-0150AC912BDE}"/>
            </c:ext>
          </c:extLst>
        </c:ser>
        <c:dLbls>
          <c:dLblPos val="outEnd"/>
          <c:showLegendKey val="0"/>
          <c:showVal val="1"/>
          <c:showCatName val="0"/>
          <c:showSerName val="0"/>
          <c:showPercent val="0"/>
          <c:showBubbleSize val="0"/>
        </c:dLbls>
        <c:gapWidth val="100"/>
        <c:overlap val="-24"/>
        <c:axId val="1662260128"/>
        <c:axId val="1662261568"/>
      </c:barChart>
      <c:catAx>
        <c:axId val="1662260128"/>
        <c:scaling>
          <c:orientation val="minMax"/>
        </c:scaling>
        <c:delete val="0"/>
        <c:axPos val="b"/>
        <c:title>
          <c:tx>
            <c:rich>
              <a:bodyPr rot="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r>
                  <a:rPr lang="en-US"/>
                  <a:t>Date</a:t>
                </a:r>
              </a:p>
            </c:rich>
          </c:tx>
          <c:overlay val="0"/>
          <c:spPr>
            <a:no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crossAx val="1662261568"/>
        <c:crosses val="autoZero"/>
        <c:auto val="0"/>
        <c:lblAlgn val="ctr"/>
        <c:lblOffset val="100"/>
        <c:noMultiLvlLbl val="0"/>
      </c:catAx>
      <c:valAx>
        <c:axId val="166226156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r>
                  <a:rPr lang="en-US"/>
                  <a:t>Number of Months</a:t>
                </a:r>
              </a:p>
            </c:rich>
          </c:tx>
          <c:overlay val="0"/>
          <c:spPr>
            <a:noFill/>
            <a:ln>
              <a:noFill/>
            </a:ln>
            <a:effectLst/>
          </c:spPr>
          <c:txPr>
            <a:bodyPr rot="-540000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crossAx val="1662260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lang="en-US" sz="12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r>
              <a:rPr lang="en-US" b="1"/>
              <a:t>Program Services &amp; Administrative Fund Raising </a:t>
            </a:r>
          </a:p>
        </c:rich>
      </c:tx>
      <c:overlay val="0"/>
      <c:spPr>
        <a:noFill/>
        <a:ln>
          <a:noFill/>
        </a:ln>
        <a:effectLst/>
      </c:spPr>
      <c:txPr>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'Admin Ratio'!$A$16</c:f>
              <c:strCache>
                <c:ptCount val="1"/>
                <c:pt idx="0">
                  <c:v>Program Services</c:v>
                </c:pt>
              </c:strCache>
            </c:strRef>
          </c:tx>
          <c:spPr>
            <a:solidFill>
              <a:srgbClr val="633164"/>
            </a:solidFill>
            <a:ln>
              <a:noFill/>
            </a:ln>
            <a:effectLst>
              <a:outerShdw blurRad="57150" dist="19050" dir="5400000" algn="ctr" rotWithShape="0">
                <a:srgbClr val="000000">
                  <a:alpha val="63000"/>
                </a:srgbClr>
              </a:outerShdw>
            </a:effectLst>
          </c:spPr>
          <c:invertIfNegative val="0"/>
          <c:dLbls>
            <c:spPr>
              <a:solidFill>
                <a:schemeClr val="bg1"/>
              </a:solid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'Admin Ratio'!$B$15:$D$15</c:f>
              <c:numCache>
                <c:formatCode>m/d/yyyy</c:formatCode>
                <c:ptCount val="3"/>
                <c:pt idx="0">
                  <c:v>45107</c:v>
                </c:pt>
                <c:pt idx="1">
                  <c:v>45473</c:v>
                </c:pt>
                <c:pt idx="2">
                  <c:v>45838</c:v>
                </c:pt>
              </c:numCache>
            </c:numRef>
          </c:cat>
          <c:val>
            <c:numRef>
              <c:f>'Admin Ratio'!$B$16:$D$16</c:f>
              <c:numCache>
                <c:formatCode>0%</c:formatCode>
                <c:ptCount val="3"/>
                <c:pt idx="0">
                  <c:v>0.86995899784353792</c:v>
                </c:pt>
                <c:pt idx="1">
                  <c:v>0.89521278151477723</c:v>
                </c:pt>
                <c:pt idx="2">
                  <c:v>0.89415060057678108</c:v>
                </c:pt>
              </c:numCache>
            </c:numRef>
          </c:val>
          <c:extLst>
            <c:ext xmlns:c16="http://schemas.microsoft.com/office/drawing/2014/chart" uri="{C3380CC4-5D6E-409C-BE32-E72D297353CC}">
              <c16:uniqueId val="{00000000-3F0E-4DAB-87E5-23995A5973FB}"/>
            </c:ext>
          </c:extLst>
        </c:ser>
        <c:ser>
          <c:idx val="1"/>
          <c:order val="1"/>
          <c:tx>
            <c:strRef>
              <c:f>'Admin Ratio'!$A$17</c:f>
              <c:strCache>
                <c:ptCount val="1"/>
                <c:pt idx="0">
                  <c:v>Admin Supporting Activities</c:v>
                </c:pt>
              </c:strCache>
            </c:strRef>
          </c:tx>
          <c:spPr>
            <a:gradFill rotWithShape="1">
              <a:gsLst>
                <a:gs pos="0">
                  <a:schemeClr val="accent5">
                    <a:tint val="77000"/>
                    <a:satMod val="103000"/>
                    <a:lumMod val="102000"/>
                    <a:tint val="94000"/>
                  </a:schemeClr>
                </a:gs>
                <a:gs pos="50000">
                  <a:schemeClr val="accent5">
                    <a:tint val="77000"/>
                    <a:satMod val="110000"/>
                    <a:lumMod val="100000"/>
                    <a:shade val="100000"/>
                  </a:schemeClr>
                </a:gs>
                <a:gs pos="100000">
                  <a:schemeClr val="accent5">
                    <a:tint val="77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1">
                  <a:lumMod val="95000"/>
                </a:schemeClr>
              </a:solid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'Admin Ratio'!$B$15:$D$15</c:f>
              <c:numCache>
                <c:formatCode>m/d/yyyy</c:formatCode>
                <c:ptCount val="3"/>
                <c:pt idx="0">
                  <c:v>45107</c:v>
                </c:pt>
                <c:pt idx="1">
                  <c:v>45473</c:v>
                </c:pt>
                <c:pt idx="2">
                  <c:v>45838</c:v>
                </c:pt>
              </c:numCache>
            </c:numRef>
          </c:cat>
          <c:val>
            <c:numRef>
              <c:f>'Admin Ratio'!$B$17:$D$17</c:f>
              <c:numCache>
                <c:formatCode>0%</c:formatCode>
                <c:ptCount val="3"/>
                <c:pt idx="0">
                  <c:v>0.13004100215646211</c:v>
                </c:pt>
                <c:pt idx="1">
                  <c:v>0.10478721848522271</c:v>
                </c:pt>
                <c:pt idx="2">
                  <c:v>0.10584939942321886</c:v>
                </c:pt>
              </c:numCache>
            </c:numRef>
          </c:val>
          <c:extLst>
            <c:ext xmlns:c16="http://schemas.microsoft.com/office/drawing/2014/chart" uri="{C3380CC4-5D6E-409C-BE32-E72D297353CC}">
              <c16:uniqueId val="{00000001-3F0E-4DAB-87E5-23995A5973FB}"/>
            </c:ext>
          </c:extLst>
        </c:ser>
        <c:dLbls>
          <c:dLblPos val="inEnd"/>
          <c:showLegendKey val="0"/>
          <c:showVal val="1"/>
          <c:showCatName val="0"/>
          <c:showSerName val="0"/>
          <c:showPercent val="0"/>
          <c:showBubbleSize val="0"/>
        </c:dLbls>
        <c:gapWidth val="100"/>
        <c:overlap val="-24"/>
        <c:axId val="1659909695"/>
        <c:axId val="1659908735"/>
      </c:barChart>
      <c:catAx>
        <c:axId val="1659909695"/>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crossAx val="1659908735"/>
        <c:crosses val="autoZero"/>
        <c:auto val="0"/>
        <c:lblAlgn val="ctr"/>
        <c:lblOffset val="100"/>
        <c:noMultiLvlLbl val="0"/>
      </c:catAx>
      <c:valAx>
        <c:axId val="165990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crossAx val="165990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2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12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r>
              <a:rPr lang="en-US" b="1"/>
              <a:t>Total Net assets as of 06/30/25</a:t>
            </a:r>
          </a:p>
          <a:p>
            <a:pPr>
              <a:defRPr b="1"/>
            </a:pPr>
            <a:r>
              <a:rPr lang="en-US" b="1"/>
              <a:t>$56,881,184</a:t>
            </a:r>
          </a:p>
        </c:rich>
      </c:tx>
      <c:overlay val="0"/>
      <c:spPr>
        <a:noFill/>
        <a:ln>
          <a:noFill/>
        </a:ln>
        <a:effectLst/>
      </c:spPr>
      <c:txPr>
        <a:bodyPr rot="0" spcFirstLastPara="1" vertOverflow="ellipsis" vert="horz" wrap="square" anchor="ctr" anchorCtr="1"/>
        <a:lstStyle/>
        <a:p>
          <a:pPr>
            <a:defRPr lang="en-US" sz="1440" b="1" i="0" u="none" strike="noStrike" kern="1200" baseline="0">
              <a:solidFill>
                <a:sysClr val="windowText" lastClr="000000"/>
              </a:solidFill>
              <a:latin typeface="+mn-lt"/>
              <a:ea typeface="+mn-ea"/>
              <a:cs typeface="+mn-cs"/>
            </a:defRPr>
          </a:pPr>
          <a:endParaRPr lang="en-US"/>
        </a:p>
      </c:txPr>
    </c:title>
    <c:autoTitleDeleted val="0"/>
    <c:plotArea>
      <c:layout/>
      <c:pieChart>
        <c:varyColors val="1"/>
        <c:ser>
          <c:idx val="0"/>
          <c:order val="0"/>
          <c:spPr>
            <a:solidFill>
              <a:srgbClr val="633164"/>
            </a:solidFill>
          </c:spPr>
          <c:dPt>
            <c:idx val="0"/>
            <c:bubble3D val="0"/>
            <c:spPr>
              <a:solidFill>
                <a:srgbClr val="633164"/>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51C-459F-BCD7-5FEF894E2FE3}"/>
              </c:ext>
            </c:extLst>
          </c:dPt>
          <c:dPt>
            <c:idx val="1"/>
            <c:bubble3D val="0"/>
            <c:spPr>
              <a:solidFill>
                <a:srgbClr val="633164">
                  <a:alpha val="39000"/>
                </a:srgb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D51C-459F-BCD7-5FEF894E2FE3}"/>
              </c:ext>
            </c:extLst>
          </c:dPt>
          <c:dLbls>
            <c:spPr>
              <a:noFill/>
              <a:ln>
                <a:noFill/>
              </a:ln>
              <a:effectLst/>
            </c:spPr>
            <c:txPr>
              <a:bodyPr rot="0" spcFirstLastPara="1" vertOverflow="ellipsis" vert="horz" wrap="square" anchor="ctr" anchorCtr="1"/>
              <a:lstStyle/>
              <a:p>
                <a:pPr>
                  <a:defRPr lang="en-US" sz="1200" b="1" i="0" u="none" strike="noStrike" kern="1200" baseline="0">
                    <a:solidFill>
                      <a:sysClr val="windowText" lastClr="000000"/>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'Net Assets'!$A$17:$A$18</c:f>
              <c:strCache>
                <c:ptCount val="2"/>
                <c:pt idx="0">
                  <c:v>Without Donor Restrictions</c:v>
                </c:pt>
                <c:pt idx="1">
                  <c:v>With Donor Restrictions</c:v>
                </c:pt>
              </c:strCache>
            </c:strRef>
          </c:cat>
          <c:val>
            <c:numRef>
              <c:f>'Net Assets'!$B$17:$B$18</c:f>
              <c:numCache>
                <c:formatCode>_("$"* #,##0_);_("$"* \(#,##0\);_("$"* "-"??_);_(@_)</c:formatCode>
                <c:ptCount val="2"/>
                <c:pt idx="0">
                  <c:v>43410304.350000001</c:v>
                </c:pt>
                <c:pt idx="1">
                  <c:v>13470879.65</c:v>
                </c:pt>
              </c:numCache>
            </c:numRef>
          </c:val>
          <c:extLst>
            <c:ext xmlns:c16="http://schemas.microsoft.com/office/drawing/2014/chart" uri="{C3380CC4-5D6E-409C-BE32-E72D297353CC}">
              <c16:uniqueId val="{00000004-D51C-459F-BCD7-5FEF894E2FE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2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7"/>
    </mc:Choice>
    <mc:Fallback>
      <c:style val="7"/>
    </mc:Fallback>
  </mc:AlternateContent>
  <c:chart>
    <c:title>
      <c:overlay val="0"/>
      <c:spPr>
        <a:noFill/>
        <a:ln>
          <a:noFill/>
        </a:ln>
        <a:effectLst/>
      </c:spPr>
      <c:txPr>
        <a:bodyPr rot="0" spcFirstLastPara="1" vertOverflow="ellipsis" vert="horz" wrap="square" anchor="ctr" anchorCtr="1"/>
        <a:lstStyle/>
        <a:p>
          <a:pPr algn="ctr" rtl="0">
            <a:defRPr lang="en-US" sz="144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'PV A &amp; L'!$A$13</c:f>
              <c:strCache>
                <c:ptCount val="1"/>
                <c:pt idx="0">
                  <c:v>      Total Assets</c:v>
                </c:pt>
              </c:strCache>
            </c:strRef>
          </c:tx>
          <c:spPr>
            <a:ln w="28575" cap="rnd">
              <a:solidFill>
                <a:srgbClr val="633164"/>
              </a:solidFill>
              <a:round/>
            </a:ln>
            <a:effectLst/>
          </c:spPr>
          <c:marker>
            <c:symbol val="none"/>
          </c:marker>
          <c:cat>
            <c:strRef>
              <c:f>'PV A &amp; L'!$B$12:$M$12</c:f>
              <c:strCache>
                <c:ptCount val="12"/>
                <c:pt idx="0">
                  <c:v>07/31/24</c:v>
                </c:pt>
                <c:pt idx="1">
                  <c:v>08/31/24</c:v>
                </c:pt>
                <c:pt idx="2">
                  <c:v>09/30/24</c:v>
                </c:pt>
                <c:pt idx="3">
                  <c:v>10/31/24</c:v>
                </c:pt>
                <c:pt idx="4">
                  <c:v>11/30/24</c:v>
                </c:pt>
                <c:pt idx="5">
                  <c:v>12/31/24</c:v>
                </c:pt>
                <c:pt idx="6">
                  <c:v>1/31/25</c:v>
                </c:pt>
                <c:pt idx="7">
                  <c:v>2/28/25</c:v>
                </c:pt>
                <c:pt idx="8">
                  <c:v>3/31/25</c:v>
                </c:pt>
                <c:pt idx="9">
                  <c:v>4/30/25</c:v>
                </c:pt>
                <c:pt idx="10">
                  <c:v>05/31/25</c:v>
                </c:pt>
                <c:pt idx="11">
                  <c:v>06/30/25</c:v>
                </c:pt>
              </c:strCache>
            </c:strRef>
          </c:cat>
          <c:val>
            <c:numRef>
              <c:f>'PV A &amp; L'!$B$13:$M$13</c:f>
              <c:numCache>
                <c:formatCode>_(* #,##0_);_(* \(#,##0\);_(* "-"??_);_(@_)</c:formatCode>
                <c:ptCount val="12"/>
                <c:pt idx="0">
                  <c:v>55352664</c:v>
                </c:pt>
                <c:pt idx="1">
                  <c:v>55374021</c:v>
                </c:pt>
                <c:pt idx="2">
                  <c:v>55563505</c:v>
                </c:pt>
                <c:pt idx="3">
                  <c:v>55536381</c:v>
                </c:pt>
                <c:pt idx="4">
                  <c:v>56858526</c:v>
                </c:pt>
                <c:pt idx="5">
                  <c:v>56946854</c:v>
                </c:pt>
                <c:pt idx="6">
                  <c:v>57179465</c:v>
                </c:pt>
                <c:pt idx="7">
                  <c:v>57473158</c:v>
                </c:pt>
                <c:pt idx="8">
                  <c:v>57657769</c:v>
                </c:pt>
                <c:pt idx="9">
                  <c:v>58524098</c:v>
                </c:pt>
                <c:pt idx="10">
                  <c:v>58289904</c:v>
                </c:pt>
                <c:pt idx="11">
                  <c:v>58918404</c:v>
                </c:pt>
              </c:numCache>
            </c:numRef>
          </c:val>
          <c:smooth val="0"/>
          <c:extLst>
            <c:ext xmlns:c16="http://schemas.microsoft.com/office/drawing/2014/chart" uri="{C3380CC4-5D6E-409C-BE32-E72D297353CC}">
              <c16:uniqueId val="{00000000-F0C6-4F16-8B00-84B384530989}"/>
            </c:ext>
          </c:extLst>
        </c:ser>
        <c:dLbls>
          <c:showLegendKey val="0"/>
          <c:showVal val="0"/>
          <c:showCatName val="0"/>
          <c:showSerName val="0"/>
          <c:showPercent val="0"/>
          <c:showBubbleSize val="0"/>
        </c:dLbls>
        <c:smooth val="0"/>
        <c:axId val="1505658031"/>
        <c:axId val="1505658511"/>
      </c:lineChart>
      <c:catAx>
        <c:axId val="150565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200" b="1" i="0" u="none" strike="noStrike" kern="1200" baseline="0">
                <a:solidFill>
                  <a:sysClr val="windowText" lastClr="000000"/>
                </a:solidFill>
                <a:latin typeface="+mn-lt"/>
                <a:ea typeface="+mn-ea"/>
                <a:cs typeface="+mn-cs"/>
              </a:defRPr>
            </a:pPr>
            <a:endParaRPr lang="en-US"/>
          </a:p>
        </c:txPr>
        <c:crossAx val="1505658511"/>
        <c:crosses val="autoZero"/>
        <c:auto val="1"/>
        <c:lblAlgn val="ctr"/>
        <c:lblOffset val="100"/>
        <c:noMultiLvlLbl val="0"/>
      </c:catAx>
      <c:valAx>
        <c:axId val="150565851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lang="en-US" sz="1200" b="1" i="0" u="none" strike="noStrike" kern="1200" baseline="0">
                <a:solidFill>
                  <a:sysClr val="windowText" lastClr="000000"/>
                </a:solidFill>
                <a:latin typeface="+mn-lt"/>
                <a:ea typeface="+mn-ea"/>
                <a:cs typeface="+mn-cs"/>
              </a:defRPr>
            </a:pPr>
            <a:endParaRPr lang="en-US"/>
          </a:p>
        </c:txPr>
        <c:crossAx val="15056580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2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0"/>
          <c:order val="0"/>
          <c:tx>
            <c:strRef>
              <c:f>'PV A &amp; L'!$A$13</c:f>
              <c:strCache>
                <c:ptCount val="1"/>
                <c:pt idx="0">
                  <c:v>      Total Assets</c:v>
                </c:pt>
              </c:strCache>
            </c:strRef>
          </c:tx>
          <c:spPr>
            <a:ln w="28575" cap="rnd">
              <a:solidFill>
                <a:schemeClr val="accent1"/>
              </a:solidFill>
              <a:round/>
            </a:ln>
            <a:effectLst/>
          </c:spPr>
          <c:marker>
            <c:symbol val="none"/>
          </c:marker>
          <c:cat>
            <c:strRef>
              <c:f>'PV A &amp; L'!$B$12:$M$12</c:f>
              <c:strCache>
                <c:ptCount val="12"/>
                <c:pt idx="0">
                  <c:v>07/31/24</c:v>
                </c:pt>
                <c:pt idx="1">
                  <c:v>08/31/24</c:v>
                </c:pt>
                <c:pt idx="2">
                  <c:v>09/30/24</c:v>
                </c:pt>
                <c:pt idx="3">
                  <c:v>10/31/24</c:v>
                </c:pt>
                <c:pt idx="4">
                  <c:v>11/30/24</c:v>
                </c:pt>
                <c:pt idx="5">
                  <c:v>12/31/24</c:v>
                </c:pt>
                <c:pt idx="6">
                  <c:v>1/31/25</c:v>
                </c:pt>
                <c:pt idx="7">
                  <c:v>2/28/25</c:v>
                </c:pt>
                <c:pt idx="8">
                  <c:v>3/31/25</c:v>
                </c:pt>
                <c:pt idx="9">
                  <c:v>4/30/25</c:v>
                </c:pt>
                <c:pt idx="10">
                  <c:v>05/31/25</c:v>
                </c:pt>
                <c:pt idx="11">
                  <c:v>06/30/25</c:v>
                </c:pt>
              </c:strCache>
            </c:strRef>
          </c:cat>
          <c:val>
            <c:numRef>
              <c:f>'PV A &amp; L'!$B$13:$M$13</c:f>
              <c:numCache>
                <c:formatCode>_(* #,##0_);_(* \(#,##0\);_(* "-"??_);_(@_)</c:formatCode>
                <c:ptCount val="12"/>
                <c:pt idx="0">
                  <c:v>55352664</c:v>
                </c:pt>
                <c:pt idx="1">
                  <c:v>55374021</c:v>
                </c:pt>
                <c:pt idx="2">
                  <c:v>55563505</c:v>
                </c:pt>
                <c:pt idx="3">
                  <c:v>55536381</c:v>
                </c:pt>
                <c:pt idx="4">
                  <c:v>56858526</c:v>
                </c:pt>
                <c:pt idx="5">
                  <c:v>56946854</c:v>
                </c:pt>
                <c:pt idx="6">
                  <c:v>57179465</c:v>
                </c:pt>
                <c:pt idx="7">
                  <c:v>57473158</c:v>
                </c:pt>
                <c:pt idx="8">
                  <c:v>57657769</c:v>
                </c:pt>
                <c:pt idx="9">
                  <c:v>58524098</c:v>
                </c:pt>
                <c:pt idx="10">
                  <c:v>58289904</c:v>
                </c:pt>
                <c:pt idx="11">
                  <c:v>58918404</c:v>
                </c:pt>
              </c:numCache>
            </c:numRef>
          </c:val>
          <c:smooth val="0"/>
          <c:extLst>
            <c:ext xmlns:c16="http://schemas.microsoft.com/office/drawing/2014/chart" uri="{C3380CC4-5D6E-409C-BE32-E72D297353CC}">
              <c16:uniqueId val="{00000000-B7FB-4CE7-AE9C-C28628CC6C02}"/>
            </c:ext>
          </c:extLst>
        </c:ser>
        <c:dLbls>
          <c:showLegendKey val="0"/>
          <c:showVal val="0"/>
          <c:showCatName val="0"/>
          <c:showSerName val="0"/>
          <c:showPercent val="0"/>
          <c:showBubbleSize val="0"/>
        </c:dLbls>
        <c:smooth val="0"/>
        <c:axId val="1505658031"/>
        <c:axId val="1505658511"/>
      </c:lineChart>
      <c:catAx>
        <c:axId val="150565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1505658511"/>
        <c:crosses val="autoZero"/>
        <c:auto val="1"/>
        <c:lblAlgn val="ctr"/>
        <c:lblOffset val="100"/>
        <c:noMultiLvlLbl val="0"/>
      </c:catAx>
      <c:valAx>
        <c:axId val="150565851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15056580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40" b="1" i="0" u="none" strike="noStrike" kern="1200" baseline="0">
                <a:solidFill>
                  <a:schemeClr val="tx1">
                    <a:lumMod val="65000"/>
                    <a:lumOff val="35000"/>
                  </a:schemeClr>
                </a:solidFill>
                <a:latin typeface="+mn-lt"/>
                <a:ea typeface="+mn-ea"/>
                <a:cs typeface="+mn-cs"/>
              </a:defRPr>
            </a:pPr>
            <a:r>
              <a:rPr lang="en-US"/>
              <a:t>Total Net assets as of 06/30/25</a:t>
            </a:r>
          </a:p>
        </c:rich>
      </c:tx>
      <c:overlay val="0"/>
      <c:spPr>
        <a:noFill/>
        <a:ln>
          <a:noFill/>
        </a:ln>
        <a:effectLst/>
      </c:spPr>
      <c:txPr>
        <a:bodyPr rot="0" spcFirstLastPara="1" vertOverflow="ellipsis" vert="horz" wrap="square" anchor="ctr" anchorCtr="1"/>
        <a:lstStyle/>
        <a:p>
          <a:pPr>
            <a:defRPr sz="144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5">
                      <a:shade val="76000"/>
                      <a:satMod val="103000"/>
                      <a:lumMod val="102000"/>
                      <a:tint val="94000"/>
                    </a:schemeClr>
                  </a:gs>
                  <a:gs pos="50000">
                    <a:schemeClr val="accent5">
                      <a:shade val="76000"/>
                      <a:satMod val="110000"/>
                      <a:lumMod val="100000"/>
                      <a:shade val="100000"/>
                    </a:schemeClr>
                  </a:gs>
                  <a:gs pos="100000">
                    <a:schemeClr val="accent5">
                      <a:shade val="76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9DA-49BB-961D-E958DC2760FA}"/>
              </c:ext>
            </c:extLst>
          </c:dPt>
          <c:dPt>
            <c:idx val="1"/>
            <c:bubble3D val="0"/>
            <c:spPr>
              <a:gradFill rotWithShape="1">
                <a:gsLst>
                  <a:gs pos="0">
                    <a:schemeClr val="accent5">
                      <a:tint val="77000"/>
                      <a:satMod val="103000"/>
                      <a:lumMod val="102000"/>
                      <a:tint val="94000"/>
                    </a:schemeClr>
                  </a:gs>
                  <a:gs pos="50000">
                    <a:schemeClr val="accent5">
                      <a:tint val="77000"/>
                      <a:satMod val="110000"/>
                      <a:lumMod val="100000"/>
                      <a:shade val="100000"/>
                    </a:schemeClr>
                  </a:gs>
                  <a:gs pos="100000">
                    <a:schemeClr val="accent5">
                      <a:tint val="77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9DA-49BB-961D-E958DC2760FA}"/>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'Net Assets'!$A$17:$A$18</c:f>
              <c:strCache>
                <c:ptCount val="2"/>
                <c:pt idx="0">
                  <c:v>Without Donor Restrictions</c:v>
                </c:pt>
                <c:pt idx="1">
                  <c:v>With Donor Restrictions</c:v>
                </c:pt>
              </c:strCache>
            </c:strRef>
          </c:cat>
          <c:val>
            <c:numRef>
              <c:f>'Net Assets'!$B$17:$B$18</c:f>
              <c:numCache>
                <c:formatCode>_("$"* #,##0_);_("$"* \(#,##0\);_("$"* "-"??_);_(@_)</c:formatCode>
                <c:ptCount val="2"/>
                <c:pt idx="0">
                  <c:v>43410304.350000001</c:v>
                </c:pt>
                <c:pt idx="1">
                  <c:v>13470879.65</c:v>
                </c:pt>
              </c:numCache>
            </c:numRef>
          </c:val>
          <c:extLst>
            <c:ext xmlns:c16="http://schemas.microsoft.com/office/drawing/2014/chart" uri="{C3380CC4-5D6E-409C-BE32-E72D297353CC}">
              <c16:uniqueId val="{00000000-13AC-4CB6-B414-1C3F68969EE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ysClr val="windowText" lastClr="000000"/>
                </a:solidFill>
                <a:latin typeface="+mn-lt"/>
                <a:ea typeface="+mn-ea"/>
                <a:cs typeface="+mn-cs"/>
              </a:defRPr>
            </a:pPr>
            <a:r>
              <a:rPr lang="en-US"/>
              <a:t>Total Revenue to 06/30/25</a:t>
            </a:r>
          </a:p>
        </c:rich>
      </c:tx>
      <c:overlay val="0"/>
      <c:spPr>
        <a:noFill/>
        <a:ln>
          <a:noFill/>
        </a:ln>
        <a:effectLst/>
      </c:spPr>
      <c:txPr>
        <a:bodyPr rot="0" spcFirstLastPara="1" vertOverflow="ellipsis" vert="horz" wrap="square" anchor="ctr" anchorCtr="1"/>
        <a:lstStyle/>
        <a:p>
          <a:pPr>
            <a:defRPr sz="1440" b="1" i="0" u="none" strike="noStrike" kern="1200" baseline="0">
              <a:solidFill>
                <a:sysClr val="windowText" lastClr="000000"/>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62E-43E0-971F-B65274F587F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62E-43E0-971F-B65274F587F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62E-43E0-971F-B65274F587F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62E-43E0-971F-B65274F587F7}"/>
              </c:ext>
            </c:extLst>
          </c:dPt>
          <c:dLbls>
            <c:spPr>
              <a:solidFill>
                <a:schemeClr val="lt1"/>
              </a:solid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'Revenue Data'!$A$18:$A$21</c:f>
              <c:strCache>
                <c:ptCount val="4"/>
                <c:pt idx="0">
                  <c:v>Contributions, foundations, trusts and bequests</c:v>
                </c:pt>
                <c:pt idx="1">
                  <c:v>Other Revenue and Support</c:v>
                </c:pt>
                <c:pt idx="2">
                  <c:v>Grants</c:v>
                </c:pt>
                <c:pt idx="3">
                  <c:v>Contributed facilities, goods and services</c:v>
                </c:pt>
              </c:strCache>
            </c:strRef>
          </c:cat>
          <c:val>
            <c:numRef>
              <c:f>'Revenue Data'!$B$18:$B$21</c:f>
              <c:numCache>
                <c:formatCode>_(* #,##0.00_);_(* \(#,##0.00\);_(* "-"??_);_(@_)</c:formatCode>
                <c:ptCount val="4"/>
                <c:pt idx="0">
                  <c:v>3888106</c:v>
                </c:pt>
                <c:pt idx="1">
                  <c:v>828877</c:v>
                </c:pt>
                <c:pt idx="2">
                  <c:v>33836007</c:v>
                </c:pt>
                <c:pt idx="3">
                  <c:v>11237958</c:v>
                </c:pt>
              </c:numCache>
            </c:numRef>
          </c:val>
          <c:extLst>
            <c:ext xmlns:c16="http://schemas.microsoft.com/office/drawing/2014/chart" uri="{C3380CC4-5D6E-409C-BE32-E72D297353CC}">
              <c16:uniqueId val="{00000000-0A6D-45AB-919E-126874C2ECA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25000"/>
          <a:lumOff val="7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Expenses to 06/30/25</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41D-4A05-AD4E-CCD634A8B958}"/>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41D-4A05-AD4E-CCD634A8B958}"/>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41D-4A05-AD4E-CCD634A8B95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'Expenses Data'!$A$10:$A$12</c:f>
              <c:strCache>
                <c:ptCount val="3"/>
                <c:pt idx="0">
                  <c:v>Community Based Services</c:v>
                </c:pt>
                <c:pt idx="1">
                  <c:v>Child Development Services</c:v>
                </c:pt>
                <c:pt idx="2">
                  <c:v>General Admin, Fund Raising &amp; Ministries</c:v>
                </c:pt>
              </c:strCache>
            </c:strRef>
          </c:cat>
          <c:val>
            <c:numRef>
              <c:f>'Expenses Data'!$B$10:$B$12</c:f>
              <c:numCache>
                <c:formatCode>_(* #,##0.00_);_(* \(#,##0.00\);_(* "-"??_);_(@_)</c:formatCode>
                <c:ptCount val="3"/>
                <c:pt idx="0">
                  <c:v>23829994</c:v>
                </c:pt>
                <c:pt idx="1">
                  <c:v>18814433</c:v>
                </c:pt>
                <c:pt idx="2">
                  <c:v>5124819</c:v>
                </c:pt>
              </c:numCache>
            </c:numRef>
          </c:val>
          <c:extLst>
            <c:ext xmlns:c16="http://schemas.microsoft.com/office/drawing/2014/chart" uri="{C3380CC4-5D6E-409C-BE32-E72D297353CC}">
              <c16:uniqueId val="{00000000-37BA-4666-BFC4-45D51F1FF3E4}"/>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n-US" sz="1080" b="0" i="0" u="none" strike="noStrike" kern="1200" baseline="0">
                <a:solidFill>
                  <a:schemeClr val="tx2"/>
                </a:solidFill>
                <a:latin typeface="+mn-lt"/>
                <a:ea typeface="+mn-ea"/>
                <a:cs typeface="+mn-cs"/>
              </a:defRPr>
            </a:pPr>
            <a:r>
              <a:rPr lang="en-US" sz="1100" b="1" i="0" u="none" strike="noStrike" kern="1200" baseline="0">
                <a:solidFill>
                  <a:srgbClr val="0E2841"/>
                </a:solidFill>
              </a:rPr>
              <a:t>Program Services &amp; Administrative Fund Raising Expenses</a:t>
            </a:r>
          </a:p>
        </c:rich>
      </c:tx>
      <c:overlay val="0"/>
      <c:spPr>
        <a:noFill/>
        <a:ln>
          <a:noFill/>
        </a:ln>
        <a:effectLst/>
      </c:spPr>
      <c:txPr>
        <a:bodyPr rot="0" spcFirstLastPara="1" vertOverflow="ellipsis" vert="horz" wrap="square" anchor="ctr" anchorCtr="1"/>
        <a:lstStyle/>
        <a:p>
          <a:pPr>
            <a:defRPr lang="en-US" sz="1080" b="0"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'Admin Ratio'!$A$16</c:f>
              <c:strCache>
                <c:ptCount val="1"/>
                <c:pt idx="0">
                  <c:v>Program Services</c:v>
                </c:pt>
              </c:strCache>
            </c:strRef>
          </c:tx>
          <c:spPr>
            <a:gradFill rotWithShape="1">
              <a:gsLst>
                <a:gs pos="0">
                  <a:schemeClr val="accent5">
                    <a:shade val="76000"/>
                    <a:satMod val="103000"/>
                    <a:lumMod val="102000"/>
                    <a:tint val="94000"/>
                  </a:schemeClr>
                </a:gs>
                <a:gs pos="50000">
                  <a:schemeClr val="accent5">
                    <a:shade val="76000"/>
                    <a:satMod val="110000"/>
                    <a:lumMod val="100000"/>
                    <a:shade val="100000"/>
                  </a:schemeClr>
                </a:gs>
                <a:gs pos="100000">
                  <a:schemeClr val="accent5">
                    <a:shade val="76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'Admin Ratio'!$B$15:$D$15</c:f>
              <c:numCache>
                <c:formatCode>m/d/yyyy</c:formatCode>
                <c:ptCount val="3"/>
                <c:pt idx="0">
                  <c:v>45107</c:v>
                </c:pt>
                <c:pt idx="1">
                  <c:v>45473</c:v>
                </c:pt>
                <c:pt idx="2">
                  <c:v>45838</c:v>
                </c:pt>
              </c:numCache>
            </c:numRef>
          </c:cat>
          <c:val>
            <c:numRef>
              <c:f>'Admin Ratio'!$B$16:$D$16</c:f>
              <c:numCache>
                <c:formatCode>0%</c:formatCode>
                <c:ptCount val="3"/>
                <c:pt idx="0">
                  <c:v>0.86995899784353792</c:v>
                </c:pt>
                <c:pt idx="1">
                  <c:v>0.89521278151477723</c:v>
                </c:pt>
                <c:pt idx="2">
                  <c:v>0.89415060057678108</c:v>
                </c:pt>
              </c:numCache>
            </c:numRef>
          </c:val>
          <c:extLst>
            <c:ext xmlns:c16="http://schemas.microsoft.com/office/drawing/2014/chart" uri="{C3380CC4-5D6E-409C-BE32-E72D297353CC}">
              <c16:uniqueId val="{00000000-C609-445F-A5CD-4E55D5BE28AF}"/>
            </c:ext>
          </c:extLst>
        </c:ser>
        <c:ser>
          <c:idx val="1"/>
          <c:order val="1"/>
          <c:tx>
            <c:strRef>
              <c:f>'Admin Ratio'!$A$17</c:f>
              <c:strCache>
                <c:ptCount val="1"/>
                <c:pt idx="0">
                  <c:v>Admin Supporting Activities</c:v>
                </c:pt>
              </c:strCache>
            </c:strRef>
          </c:tx>
          <c:spPr>
            <a:gradFill rotWithShape="1">
              <a:gsLst>
                <a:gs pos="0">
                  <a:schemeClr val="accent5">
                    <a:tint val="77000"/>
                    <a:satMod val="103000"/>
                    <a:lumMod val="102000"/>
                    <a:tint val="94000"/>
                  </a:schemeClr>
                </a:gs>
                <a:gs pos="50000">
                  <a:schemeClr val="accent5">
                    <a:tint val="77000"/>
                    <a:satMod val="110000"/>
                    <a:lumMod val="100000"/>
                    <a:shade val="100000"/>
                  </a:schemeClr>
                </a:gs>
                <a:gs pos="100000">
                  <a:schemeClr val="accent5">
                    <a:tint val="77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'Admin Ratio'!$B$15:$D$15</c:f>
              <c:numCache>
                <c:formatCode>m/d/yyyy</c:formatCode>
                <c:ptCount val="3"/>
                <c:pt idx="0">
                  <c:v>45107</c:v>
                </c:pt>
                <c:pt idx="1">
                  <c:v>45473</c:v>
                </c:pt>
                <c:pt idx="2">
                  <c:v>45838</c:v>
                </c:pt>
              </c:numCache>
            </c:numRef>
          </c:cat>
          <c:val>
            <c:numRef>
              <c:f>'Admin Ratio'!$B$17:$D$17</c:f>
              <c:numCache>
                <c:formatCode>0%</c:formatCode>
                <c:ptCount val="3"/>
                <c:pt idx="0">
                  <c:v>0.13004100215646211</c:v>
                </c:pt>
                <c:pt idx="1">
                  <c:v>0.10478721848522271</c:v>
                </c:pt>
                <c:pt idx="2">
                  <c:v>0.10584939942321886</c:v>
                </c:pt>
              </c:numCache>
            </c:numRef>
          </c:val>
          <c:extLst>
            <c:ext xmlns:c16="http://schemas.microsoft.com/office/drawing/2014/chart" uri="{C3380CC4-5D6E-409C-BE32-E72D297353CC}">
              <c16:uniqueId val="{00000001-C609-445F-A5CD-4E55D5BE28AF}"/>
            </c:ext>
          </c:extLst>
        </c:ser>
        <c:dLbls>
          <c:dLblPos val="inEnd"/>
          <c:showLegendKey val="0"/>
          <c:showVal val="1"/>
          <c:showCatName val="0"/>
          <c:showSerName val="0"/>
          <c:showPercent val="0"/>
          <c:showBubbleSize val="0"/>
        </c:dLbls>
        <c:gapWidth val="100"/>
        <c:overlap val="-24"/>
        <c:axId val="1659909695"/>
        <c:axId val="1659908735"/>
      </c:barChart>
      <c:catAx>
        <c:axId val="1659909695"/>
        <c:scaling>
          <c:orientation val="minMax"/>
        </c:scaling>
        <c:delete val="0"/>
        <c:axPos val="b"/>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n-US"/>
          </a:p>
        </c:txPr>
        <c:crossAx val="1659908735"/>
        <c:crosses val="autoZero"/>
        <c:auto val="0"/>
        <c:lblAlgn val="ctr"/>
        <c:lblOffset val="100"/>
        <c:noMultiLvlLbl val="0"/>
      </c:catAx>
      <c:valAx>
        <c:axId val="165990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n-US"/>
          </a:p>
        </c:txPr>
        <c:crossAx val="16599096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2"/>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tx2"/>
          </a:solidFill>
          <a:latin typeface="+mn-lt"/>
          <a:ea typeface="+mn-ea"/>
          <a:cs typeface="+mn-c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[Finance Dashboard FY 24-25.xlsx]Pv Cash!PivotTable3</c:name>
    <c:fmtId val="0"/>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Cash</a:t>
            </a:r>
            <a:r>
              <a:rPr lang="en-US" baseline="0"/>
              <a:t> Analysis for FY 25-26</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spPr>
          <a:ln w="31750" cap="rnd">
            <a:solidFill>
              <a:srgbClr val="633164"/>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31750" cap="rnd">
            <a:solidFill>
              <a:srgbClr val="633164"/>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pivotFmt>
    </c:pivotFmts>
    <c:plotArea>
      <c:layout/>
      <c:lineChart>
        <c:grouping val="standard"/>
        <c:varyColors val="0"/>
        <c:ser>
          <c:idx val="0"/>
          <c:order val="0"/>
          <c:tx>
            <c:strRef>
              <c:f>'Pv Cash'!$B$3</c:f>
              <c:strCache>
                <c:ptCount val="1"/>
                <c:pt idx="0">
                  <c:v>Total</c:v>
                </c:pt>
              </c:strCache>
            </c:strRef>
          </c:tx>
          <c:spPr>
            <a:ln w="31750" cap="rnd">
              <a:solidFill>
                <a:srgbClr val="633164"/>
              </a:solidFill>
              <a:round/>
            </a:ln>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12700">
                <a:solidFill>
                  <a:schemeClr val="lt2"/>
                </a:solidFill>
                <a:round/>
              </a:ln>
              <a:effectLst/>
            </c:spPr>
          </c:marker>
          <c:cat>
            <c:strRef>
              <c:f>'Pv Cash'!$A$4:$A$15</c:f>
              <c:strCache>
                <c:ptCount val="12"/>
                <c:pt idx="0">
                  <c:v>7/31/24</c:v>
                </c:pt>
                <c:pt idx="1">
                  <c:v>08/31/24</c:v>
                </c:pt>
                <c:pt idx="2">
                  <c:v>09/30/24</c:v>
                </c:pt>
                <c:pt idx="3">
                  <c:v>10/31/24</c:v>
                </c:pt>
                <c:pt idx="4">
                  <c:v>11/30/24</c:v>
                </c:pt>
                <c:pt idx="5">
                  <c:v>12/31/24</c:v>
                </c:pt>
                <c:pt idx="6">
                  <c:v>1/31/25</c:v>
                </c:pt>
                <c:pt idx="7">
                  <c:v>2/28/25</c:v>
                </c:pt>
                <c:pt idx="8">
                  <c:v>3/31/25</c:v>
                </c:pt>
                <c:pt idx="9">
                  <c:v>4/30/25</c:v>
                </c:pt>
                <c:pt idx="10">
                  <c:v>5/31/25</c:v>
                </c:pt>
                <c:pt idx="11">
                  <c:v>6/30/25</c:v>
                </c:pt>
              </c:strCache>
            </c:strRef>
          </c:cat>
          <c:val>
            <c:numRef>
              <c:f>'Pv Cash'!$B$4:$B$15</c:f>
              <c:numCache>
                <c:formatCode>_("$"* #,##0.00_);_("$"* \(#,##0.00\);_("$"* "-"??_);_(@_)</c:formatCode>
                <c:ptCount val="12"/>
                <c:pt idx="0">
                  <c:v>18763770</c:v>
                </c:pt>
                <c:pt idx="1">
                  <c:v>19932239</c:v>
                </c:pt>
                <c:pt idx="2">
                  <c:v>19770221</c:v>
                </c:pt>
                <c:pt idx="3">
                  <c:v>20698756</c:v>
                </c:pt>
                <c:pt idx="4">
                  <c:v>18698420</c:v>
                </c:pt>
                <c:pt idx="5">
                  <c:v>19853317</c:v>
                </c:pt>
                <c:pt idx="6">
                  <c:v>18716238</c:v>
                </c:pt>
                <c:pt idx="7">
                  <c:v>20048315</c:v>
                </c:pt>
                <c:pt idx="8">
                  <c:v>19584173</c:v>
                </c:pt>
                <c:pt idx="9">
                  <c:v>19136840</c:v>
                </c:pt>
                <c:pt idx="10">
                  <c:v>20771608</c:v>
                </c:pt>
                <c:pt idx="11">
                  <c:v>21609755</c:v>
                </c:pt>
              </c:numCache>
            </c:numRef>
          </c:val>
          <c:smooth val="0"/>
          <c:extLst>
            <c:ext xmlns:c16="http://schemas.microsoft.com/office/drawing/2014/chart" uri="{C3380CC4-5D6E-409C-BE32-E72D297353CC}">
              <c16:uniqueId val="{00000000-63D8-48C8-B8A8-38B773381898}"/>
            </c:ext>
          </c:extLst>
        </c:ser>
        <c:dLbls>
          <c:showLegendKey val="0"/>
          <c:showVal val="0"/>
          <c:showCatName val="0"/>
          <c:showSerName val="0"/>
          <c:showPercent val="0"/>
          <c:showBubbleSize val="0"/>
        </c:dLbls>
        <c:marker val="1"/>
        <c:smooth val="0"/>
        <c:axId val="1412614752"/>
        <c:axId val="1412619552"/>
      </c:lineChart>
      <c:catAx>
        <c:axId val="141261475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12619552"/>
        <c:crosses val="autoZero"/>
        <c:auto val="1"/>
        <c:lblAlgn val="ctr"/>
        <c:lblOffset val="100"/>
        <c:noMultiLvlLbl val="0"/>
      </c:catAx>
      <c:valAx>
        <c:axId val="141261955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4126147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Months of Unrestricted Cash per month</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'Months of Unrestricted Cash'!$B$15</c:f>
              <c:strCache>
                <c:ptCount val="1"/>
                <c:pt idx="0">
                  <c:v>Months of Unrestricted Cash</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'Months of Unrestricted Cash'!$A$16:$A$27</c:f>
              <c:numCache>
                <c:formatCode>m/d/yyyy</c:formatCode>
                <c:ptCount val="12"/>
                <c:pt idx="0">
                  <c:v>45504</c:v>
                </c:pt>
                <c:pt idx="1">
                  <c:v>45535</c:v>
                </c:pt>
                <c:pt idx="2">
                  <c:v>45565</c:v>
                </c:pt>
                <c:pt idx="3">
                  <c:v>45596</c:v>
                </c:pt>
                <c:pt idx="4">
                  <c:v>45626</c:v>
                </c:pt>
                <c:pt idx="5">
                  <c:v>45657</c:v>
                </c:pt>
                <c:pt idx="6">
                  <c:v>45688</c:v>
                </c:pt>
                <c:pt idx="7">
                  <c:v>45716</c:v>
                </c:pt>
                <c:pt idx="8">
                  <c:v>45747</c:v>
                </c:pt>
                <c:pt idx="9">
                  <c:v>45777</c:v>
                </c:pt>
                <c:pt idx="10">
                  <c:v>45808</c:v>
                </c:pt>
                <c:pt idx="11">
                  <c:v>45838</c:v>
                </c:pt>
              </c:numCache>
            </c:numRef>
          </c:cat>
          <c:val>
            <c:numRef>
              <c:f>'Months of Unrestricted Cash'!$B$16:$B$27</c:f>
              <c:numCache>
                <c:formatCode>_(* #,##0.00_);_(* \(#,##0.00\);_(* "-"??_);_(@_)</c:formatCode>
                <c:ptCount val="12"/>
                <c:pt idx="0">
                  <c:v>3.9399688997331022</c:v>
                </c:pt>
                <c:pt idx="1">
                  <c:v>3.9969100393181547</c:v>
                </c:pt>
                <c:pt idx="2">
                  <c:v>3.8655619024801635</c:v>
                </c:pt>
                <c:pt idx="3">
                  <c:v>4.1132668137834223</c:v>
                </c:pt>
                <c:pt idx="4">
                  <c:v>3.5097919266330462</c:v>
                </c:pt>
                <c:pt idx="5">
                  <c:v>3.7852325204026136</c:v>
                </c:pt>
                <c:pt idx="6">
                  <c:v>3.4680745831577893</c:v>
                </c:pt>
                <c:pt idx="7">
                  <c:v>3.8260355829660173</c:v>
                </c:pt>
                <c:pt idx="8">
                  <c:v>3.7361970580545414</c:v>
                </c:pt>
                <c:pt idx="9">
                  <c:v>3.6593700031144905</c:v>
                </c:pt>
                <c:pt idx="10">
                  <c:v>4.0718043921880662</c:v>
                </c:pt>
                <c:pt idx="11">
                  <c:v>4.3405485462111528</c:v>
                </c:pt>
              </c:numCache>
            </c:numRef>
          </c:val>
          <c:extLst>
            <c:ext xmlns:c16="http://schemas.microsoft.com/office/drawing/2014/chart" uri="{C3380CC4-5D6E-409C-BE32-E72D297353CC}">
              <c16:uniqueId val="{00000000-7D39-4CD0-A2DE-666AC382BA7D}"/>
            </c:ext>
          </c:extLst>
        </c:ser>
        <c:dLbls>
          <c:dLblPos val="outEnd"/>
          <c:showLegendKey val="0"/>
          <c:showVal val="1"/>
          <c:showCatName val="0"/>
          <c:showSerName val="0"/>
          <c:showPercent val="0"/>
          <c:showBubbleSize val="0"/>
        </c:dLbls>
        <c:gapWidth val="100"/>
        <c:overlap val="-24"/>
        <c:axId val="1662260128"/>
        <c:axId val="1662261568"/>
      </c:barChart>
      <c:catAx>
        <c:axId val="166226012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Date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62261568"/>
        <c:crosses val="autoZero"/>
        <c:auto val="0"/>
        <c:lblAlgn val="ctr"/>
        <c:lblOffset val="100"/>
        <c:noMultiLvlLbl val="0"/>
      </c:catAx>
      <c:valAx>
        <c:axId val="166226156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Number</a:t>
                </a:r>
                <a:r>
                  <a:rPr lang="en-US" baseline="0"/>
                  <a:t> of Months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62260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en-US"/>
              <a:t>Months of Liquid Unrestricted Net Assets (LUNA)</a:t>
            </a:r>
          </a:p>
        </c:rich>
      </c:tx>
      <c:overlay val="0"/>
      <c:spPr>
        <a:noFill/>
        <a:ln>
          <a:noFill/>
        </a:ln>
        <a:effectLst/>
      </c:spPr>
      <c:txPr>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'Luna Analysis'!$A$26</c:f>
              <c:strCache>
                <c:ptCount val="1"/>
                <c:pt idx="0">
                  <c:v>Months of Unrestricted Net Assets (LUNA)</c:v>
                </c:pt>
              </c:strCache>
            </c:strRef>
          </c:tx>
          <c:spPr>
            <a:solidFill>
              <a:schemeClr val="accent5">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15875" cap="rnd">
                <a:solidFill>
                  <a:schemeClr val="accent5"/>
                </a:solidFill>
              </a:ln>
              <a:effectLst/>
            </c:spPr>
            <c:trendlineType val="linear"/>
            <c:dispRSqr val="0"/>
            <c:dispEq val="0"/>
          </c:trendline>
          <c:cat>
            <c:numRef>
              <c:f>'Luna Analysis'!$B$25:$M$25</c:f>
              <c:numCache>
                <c:formatCode>m/d/yyyy</c:formatCode>
                <c:ptCount val="12"/>
                <c:pt idx="0">
                  <c:v>45504</c:v>
                </c:pt>
                <c:pt idx="1">
                  <c:v>45535</c:v>
                </c:pt>
                <c:pt idx="2">
                  <c:v>45565</c:v>
                </c:pt>
                <c:pt idx="3">
                  <c:v>45596</c:v>
                </c:pt>
                <c:pt idx="4">
                  <c:v>45626</c:v>
                </c:pt>
                <c:pt idx="5">
                  <c:v>45657</c:v>
                </c:pt>
                <c:pt idx="6">
                  <c:v>45688</c:v>
                </c:pt>
                <c:pt idx="7">
                  <c:v>45716</c:v>
                </c:pt>
                <c:pt idx="8">
                  <c:v>45747</c:v>
                </c:pt>
                <c:pt idx="9">
                  <c:v>45777</c:v>
                </c:pt>
                <c:pt idx="10">
                  <c:v>45808</c:v>
                </c:pt>
                <c:pt idx="11">
                  <c:v>45838</c:v>
                </c:pt>
              </c:numCache>
            </c:numRef>
          </c:cat>
          <c:val>
            <c:numRef>
              <c:f>'Luna Analysis'!$B$26:$M$26</c:f>
              <c:numCache>
                <c:formatCode>_(* #,##0.00_);_(* \(#,##0.00\);_(* "-"??_);_(@_)</c:formatCode>
                <c:ptCount val="12"/>
                <c:pt idx="0">
                  <c:v>5.1104748261310267</c:v>
                </c:pt>
                <c:pt idx="1">
                  <c:v>4.7356135496612559</c:v>
                </c:pt>
                <c:pt idx="2">
                  <c:v>4.6610720234832392</c:v>
                </c:pt>
                <c:pt idx="3">
                  <c:v>4.6916409376018375</c:v>
                </c:pt>
                <c:pt idx="4">
                  <c:v>4.5684333448553529</c:v>
                </c:pt>
                <c:pt idx="5">
                  <c:v>4.5673377847014303</c:v>
                </c:pt>
                <c:pt idx="6">
                  <c:v>4.5334383969421204</c:v>
                </c:pt>
                <c:pt idx="7">
                  <c:v>4.6608833445814239</c:v>
                </c:pt>
                <c:pt idx="8">
                  <c:v>4.6343798458031502</c:v>
                </c:pt>
                <c:pt idx="9">
                  <c:v>4.7999254809251797</c:v>
                </c:pt>
                <c:pt idx="10">
                  <c:v>4.8606508518113047</c:v>
                </c:pt>
                <c:pt idx="11">
                  <c:v>4.9138846816261372</c:v>
                </c:pt>
              </c:numCache>
            </c:numRef>
          </c:val>
          <c:extLst>
            <c:ext xmlns:c16="http://schemas.microsoft.com/office/drawing/2014/chart" uri="{C3380CC4-5D6E-409C-BE32-E72D297353CC}">
              <c16:uniqueId val="{00000000-28F6-4956-B5DB-A499DB89909A}"/>
            </c:ext>
          </c:extLst>
        </c:ser>
        <c:dLbls>
          <c:dLblPos val="outEnd"/>
          <c:showLegendKey val="0"/>
          <c:showVal val="1"/>
          <c:showCatName val="0"/>
          <c:showSerName val="0"/>
          <c:showPercent val="0"/>
          <c:showBubbleSize val="0"/>
        </c:dLbls>
        <c:gapWidth val="80"/>
        <c:overlap val="25"/>
        <c:axId val="619704719"/>
        <c:axId val="619696079"/>
      </c:barChart>
      <c:catAx>
        <c:axId val="619704719"/>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Date</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619696079"/>
        <c:crosses val="autoZero"/>
        <c:auto val="0"/>
        <c:lblAlgn val="ctr"/>
        <c:lblOffset val="100"/>
        <c:noMultiLvlLbl val="0"/>
      </c:catAx>
      <c:valAx>
        <c:axId val="619696079"/>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Number of Months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6197047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16.xml><?xml version="1.0" encoding="utf-8"?>
<cs:colorStyle xmlns:cs="http://schemas.microsoft.com/office/drawing/2012/chartStyle" xmlns:a="http://schemas.openxmlformats.org/drawingml/2006/main" meth="withinLinearReversed" id="25">
  <a:schemeClr val="accent5"/>
</cs:colorStyle>
</file>

<file path=xl/charts/colors17.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image" Target="../media/image2.png"/><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847725</xdr:colOff>
      <xdr:row>41</xdr:row>
      <xdr:rowOff>14287</xdr:rowOff>
    </xdr:from>
    <xdr:to>
      <xdr:col>9</xdr:col>
      <xdr:colOff>323850</xdr:colOff>
      <xdr:row>55</xdr:row>
      <xdr:rowOff>90487</xdr:rowOff>
    </xdr:to>
    <xdr:graphicFrame macro="">
      <xdr:nvGraphicFramePr>
        <xdr:cNvPr id="3" name="Chart 2">
          <a:extLst>
            <a:ext uri="{FF2B5EF4-FFF2-40B4-BE49-F238E27FC236}">
              <a16:creationId xmlns:a16="http://schemas.microsoft.com/office/drawing/2014/main" id="{AAC52561-AA4D-E4C7-B6F1-946EEA9016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390524</xdr:colOff>
      <xdr:row>1</xdr:row>
      <xdr:rowOff>71437</xdr:rowOff>
    </xdr:from>
    <xdr:to>
      <xdr:col>15</xdr:col>
      <xdr:colOff>476250</xdr:colOff>
      <xdr:row>15</xdr:row>
      <xdr:rowOff>147637</xdr:rowOff>
    </xdr:to>
    <xdr:graphicFrame macro="">
      <xdr:nvGraphicFramePr>
        <xdr:cNvPr id="2" name="Chart 1">
          <a:extLst>
            <a:ext uri="{FF2B5EF4-FFF2-40B4-BE49-F238E27FC236}">
              <a16:creationId xmlns:a16="http://schemas.microsoft.com/office/drawing/2014/main" id="{A1E97A00-E574-9F8A-2F70-AD80F92445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190500</xdr:colOff>
      <xdr:row>4</xdr:row>
      <xdr:rowOff>95250</xdr:rowOff>
    </xdr:from>
    <xdr:to>
      <xdr:col>23</xdr:col>
      <xdr:colOff>114300</xdr:colOff>
      <xdr:row>13</xdr:row>
      <xdr:rowOff>180975</xdr:rowOff>
    </xdr:to>
    <mc:AlternateContent xmlns:mc="http://schemas.openxmlformats.org/markup-compatibility/2006" xmlns:a14="http://schemas.microsoft.com/office/drawing/2010/main">
      <mc:Choice Requires="a14">
        <xdr:graphicFrame macro="">
          <xdr:nvGraphicFramePr>
            <xdr:cNvPr id="4" name="Cash Analysis">
              <a:extLst>
                <a:ext uri="{FF2B5EF4-FFF2-40B4-BE49-F238E27FC236}">
                  <a16:creationId xmlns:a16="http://schemas.microsoft.com/office/drawing/2014/main" id="{C4FD6502-34F9-54AA-6AD1-CC8755B6C3D1}"/>
                </a:ext>
              </a:extLst>
            </xdr:cNvPr>
            <xdr:cNvGraphicFramePr/>
          </xdr:nvGraphicFramePr>
          <xdr:xfrm>
            <a:off x="0" y="0"/>
            <a:ext cx="0" cy="0"/>
          </xdr:xfrm>
          <a:graphic>
            <a:graphicData uri="http://schemas.microsoft.com/office/drawing/2010/slicer">
              <sle:slicer xmlns:sle="http://schemas.microsoft.com/office/drawing/2010/slicer" name="Cash Analysis"/>
            </a:graphicData>
          </a:graphic>
        </xdr:graphicFrame>
      </mc:Choice>
      <mc:Fallback xmlns="">
        <xdr:sp macro="" textlink="">
          <xdr:nvSpPr>
            <xdr:cNvPr id="0" name=""/>
            <xdr:cNvSpPr>
              <a:spLocks noTextEdit="1"/>
            </xdr:cNvSpPr>
          </xdr:nvSpPr>
          <xdr:spPr>
            <a:xfrm>
              <a:off x="10925175" y="857250"/>
              <a:ext cx="3581400" cy="18002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666750</xdr:colOff>
      <xdr:row>15</xdr:row>
      <xdr:rowOff>157162</xdr:rowOff>
    </xdr:from>
    <xdr:to>
      <xdr:col>8</xdr:col>
      <xdr:colOff>790575</xdr:colOff>
      <xdr:row>30</xdr:row>
      <xdr:rowOff>42862</xdr:rowOff>
    </xdr:to>
    <xdr:graphicFrame macro="">
      <xdr:nvGraphicFramePr>
        <xdr:cNvPr id="3" name="Chart 2">
          <a:extLst>
            <a:ext uri="{FF2B5EF4-FFF2-40B4-BE49-F238E27FC236}">
              <a16:creationId xmlns:a16="http://schemas.microsoft.com/office/drawing/2014/main" id="{67DD22C7-3B79-E1AB-B8EA-94DBAA8B94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257175</xdr:colOff>
      <xdr:row>2</xdr:row>
      <xdr:rowOff>9525</xdr:rowOff>
    </xdr:from>
    <xdr:to>
      <xdr:col>17</xdr:col>
      <xdr:colOff>180975</xdr:colOff>
      <xdr:row>11</xdr:row>
      <xdr:rowOff>95250</xdr:rowOff>
    </xdr:to>
    <mc:AlternateContent xmlns:mc="http://schemas.openxmlformats.org/markup-compatibility/2006" xmlns:a14="http://schemas.microsoft.com/office/drawing/2010/main">
      <mc:Choice Requires="a14">
        <xdr:graphicFrame macro="">
          <xdr:nvGraphicFramePr>
            <xdr:cNvPr id="4" name="Cash Analysis 2">
              <a:extLst>
                <a:ext uri="{FF2B5EF4-FFF2-40B4-BE49-F238E27FC236}">
                  <a16:creationId xmlns:a16="http://schemas.microsoft.com/office/drawing/2014/main" id="{D1C429DE-9D34-4719-AEF6-C99ACA8505B3}"/>
                </a:ext>
              </a:extLst>
            </xdr:cNvPr>
            <xdr:cNvGraphicFramePr/>
          </xdr:nvGraphicFramePr>
          <xdr:xfrm>
            <a:off x="0" y="0"/>
            <a:ext cx="0" cy="0"/>
          </xdr:xfrm>
          <a:graphic>
            <a:graphicData uri="http://schemas.microsoft.com/office/drawing/2010/slicer">
              <sle:slicer xmlns:sle="http://schemas.microsoft.com/office/drawing/2010/slicer" name="Cash Analysis 2"/>
            </a:graphicData>
          </a:graphic>
        </xdr:graphicFrame>
      </mc:Choice>
      <mc:Fallback xmlns="">
        <xdr:sp macro="" textlink="">
          <xdr:nvSpPr>
            <xdr:cNvPr id="0" name=""/>
            <xdr:cNvSpPr>
              <a:spLocks noTextEdit="1"/>
            </xdr:cNvSpPr>
          </xdr:nvSpPr>
          <xdr:spPr>
            <a:xfrm>
              <a:off x="12858750" y="390525"/>
              <a:ext cx="3581400" cy="18002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1000125</xdr:colOff>
      <xdr:row>27</xdr:row>
      <xdr:rowOff>138112</xdr:rowOff>
    </xdr:from>
    <xdr:to>
      <xdr:col>9</xdr:col>
      <xdr:colOff>476250</xdr:colOff>
      <xdr:row>42</xdr:row>
      <xdr:rowOff>23812</xdr:rowOff>
    </xdr:to>
    <xdr:graphicFrame macro="">
      <xdr:nvGraphicFramePr>
        <xdr:cNvPr id="2" name="Chart 1">
          <a:extLst>
            <a:ext uri="{FF2B5EF4-FFF2-40B4-BE49-F238E27FC236}">
              <a16:creationId xmlns:a16="http://schemas.microsoft.com/office/drawing/2014/main" id="{9BCA50F9-3320-0816-2654-555ECD1A7A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28</xdr:row>
      <xdr:rowOff>0</xdr:rowOff>
    </xdr:from>
    <xdr:to>
      <xdr:col>2</xdr:col>
      <xdr:colOff>610196</xdr:colOff>
      <xdr:row>32</xdr:row>
      <xdr:rowOff>106</xdr:rowOff>
    </xdr:to>
    <xdr:pic>
      <xdr:nvPicPr>
        <xdr:cNvPr id="3" name="Picture 2">
          <a:extLst>
            <a:ext uri="{FF2B5EF4-FFF2-40B4-BE49-F238E27FC236}">
              <a16:creationId xmlns:a16="http://schemas.microsoft.com/office/drawing/2014/main" id="{7738089A-43B3-3CEA-EEA3-E0A028A39C19}"/>
            </a:ext>
          </a:extLst>
        </xdr:cNvPr>
        <xdr:cNvPicPr>
          <a:picLocks noChangeAspect="1"/>
        </xdr:cNvPicPr>
      </xdr:nvPicPr>
      <xdr:blipFill>
        <a:blip xmlns:r="http://schemas.openxmlformats.org/officeDocument/2006/relationships" r:embed="rId2"/>
        <a:stretch>
          <a:fillRect/>
        </a:stretch>
      </xdr:blipFill>
      <xdr:spPr>
        <a:xfrm>
          <a:off x="0" y="5600700"/>
          <a:ext cx="4267796" cy="76210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285752</xdr:colOff>
      <xdr:row>9</xdr:row>
      <xdr:rowOff>13608</xdr:rowOff>
    </xdr:from>
    <xdr:to>
      <xdr:col>12</xdr:col>
      <xdr:colOff>571500</xdr:colOff>
      <xdr:row>11</xdr:row>
      <xdr:rowOff>40822</xdr:rowOff>
    </xdr:to>
    <xdr:sp macro="" textlink="#REF!">
      <xdr:nvSpPr>
        <xdr:cNvPr id="7" name="TextBox 6">
          <a:extLst>
            <a:ext uri="{FF2B5EF4-FFF2-40B4-BE49-F238E27FC236}">
              <a16:creationId xmlns:a16="http://schemas.microsoft.com/office/drawing/2014/main" id="{C9938007-F0ED-FAAB-B0F3-DBBD7ED41573}"/>
            </a:ext>
          </a:extLst>
        </xdr:cNvPr>
        <xdr:cNvSpPr txBox="1"/>
      </xdr:nvSpPr>
      <xdr:spPr>
        <a:xfrm>
          <a:off x="6613073" y="1741715"/>
          <a:ext cx="1238248" cy="408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fld id="{BCE5ABE8-85AE-435B-91E0-F16D237936CF}" type="TxLink">
            <a:rPr lang="en-US" sz="1800" b="1" i="0" u="none" strike="noStrike">
              <a:solidFill>
                <a:srgbClr val="633164"/>
              </a:solidFill>
              <a:latin typeface="Aptos Narrow"/>
              <a:ea typeface="+mn-ea"/>
              <a:cs typeface="+mn-cs"/>
            </a:rPr>
            <a:pPr marL="0" indent="0"/>
            <a:t>56.64M</a:t>
          </a:fld>
          <a:endParaRPr lang="en-US" sz="1800" b="1" i="0" u="none" strike="noStrike">
            <a:solidFill>
              <a:srgbClr val="633164"/>
            </a:solidFill>
            <a:latin typeface="Aptos Narrow"/>
            <a:ea typeface="+mn-ea"/>
            <a:cs typeface="+mn-cs"/>
          </a:endParaRPr>
        </a:p>
      </xdr:txBody>
    </xdr:sp>
    <xdr:clientData/>
  </xdr:twoCellAnchor>
  <xdr:twoCellAnchor>
    <xdr:from>
      <xdr:col>9</xdr:col>
      <xdr:colOff>20812</xdr:colOff>
      <xdr:row>32</xdr:row>
      <xdr:rowOff>172091</xdr:rowOff>
    </xdr:from>
    <xdr:to>
      <xdr:col>16</xdr:col>
      <xdr:colOff>448236</xdr:colOff>
      <xdr:row>46</xdr:row>
      <xdr:rowOff>156883</xdr:rowOff>
    </xdr:to>
    <xdr:sp macro="" textlink="">
      <xdr:nvSpPr>
        <xdr:cNvPr id="13" name="Rectangle: Rounded Corners 12">
          <a:extLst>
            <a:ext uri="{FF2B5EF4-FFF2-40B4-BE49-F238E27FC236}">
              <a16:creationId xmlns:a16="http://schemas.microsoft.com/office/drawing/2014/main" id="{02928435-3374-F9ED-EBFA-D290763B4B19}"/>
            </a:ext>
          </a:extLst>
        </xdr:cNvPr>
        <xdr:cNvSpPr/>
      </xdr:nvSpPr>
      <xdr:spPr>
        <a:xfrm>
          <a:off x="5164312" y="6637885"/>
          <a:ext cx="5951924" cy="3290527"/>
        </a:xfrm>
        <a:prstGeom prst="roundRect">
          <a:avLst/>
        </a:prstGeom>
        <a:noFill/>
        <a:ln w="12700" cap="rnd" cmpd="sng">
          <a:solidFill>
            <a:schemeClr val="bg1"/>
          </a:solidFill>
          <a:round/>
          <a:extLst>
            <a:ext uri="{C807C97D-BFC1-408E-A445-0C87EB9F89A2}">
              <ask:lineSketchStyleProps xmlns:ask="http://schemas.microsoft.com/office/drawing/2018/sketchyshapes" sd="1219033472">
                <a:custGeom>
                  <a:avLst/>
                  <a:gdLst>
                    <a:gd name="connsiteX0" fmla="*/ 0 w 5973536"/>
                    <a:gd name="connsiteY0" fmla="*/ 492135 h 2952749"/>
                    <a:gd name="connsiteX1" fmla="*/ 492135 w 5973536"/>
                    <a:gd name="connsiteY1" fmla="*/ 0 h 2952749"/>
                    <a:gd name="connsiteX2" fmla="*/ 5481401 w 5973536"/>
                    <a:gd name="connsiteY2" fmla="*/ 0 h 2952749"/>
                    <a:gd name="connsiteX3" fmla="*/ 5973536 w 5973536"/>
                    <a:gd name="connsiteY3" fmla="*/ 492135 h 2952749"/>
                    <a:gd name="connsiteX4" fmla="*/ 5973536 w 5973536"/>
                    <a:gd name="connsiteY4" fmla="*/ 2460614 h 2952749"/>
                    <a:gd name="connsiteX5" fmla="*/ 5481401 w 5973536"/>
                    <a:gd name="connsiteY5" fmla="*/ 2952749 h 2952749"/>
                    <a:gd name="connsiteX6" fmla="*/ 492135 w 5973536"/>
                    <a:gd name="connsiteY6" fmla="*/ 2952749 h 2952749"/>
                    <a:gd name="connsiteX7" fmla="*/ 0 w 5973536"/>
                    <a:gd name="connsiteY7" fmla="*/ 2460614 h 2952749"/>
                    <a:gd name="connsiteX8" fmla="*/ 0 w 5973536"/>
                    <a:gd name="connsiteY8" fmla="*/ 492135 h 29527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973536" h="2952749" extrusionOk="0">
                      <a:moveTo>
                        <a:pt x="0" y="492135"/>
                      </a:moveTo>
                      <a:cubicBezTo>
                        <a:pt x="-4451" y="217591"/>
                        <a:pt x="209204" y="4178"/>
                        <a:pt x="492135" y="0"/>
                      </a:cubicBezTo>
                      <a:cubicBezTo>
                        <a:pt x="1599482" y="132882"/>
                        <a:pt x="4731349" y="-84951"/>
                        <a:pt x="5481401" y="0"/>
                      </a:cubicBezTo>
                      <a:cubicBezTo>
                        <a:pt x="5748237" y="4846"/>
                        <a:pt x="5966731" y="257947"/>
                        <a:pt x="5973536" y="492135"/>
                      </a:cubicBezTo>
                      <a:cubicBezTo>
                        <a:pt x="5993723" y="955274"/>
                        <a:pt x="6126016" y="1782861"/>
                        <a:pt x="5973536" y="2460614"/>
                      </a:cubicBezTo>
                      <a:cubicBezTo>
                        <a:pt x="5987275" y="2734043"/>
                        <a:pt x="5765041" y="2928380"/>
                        <a:pt x="5481401" y="2952749"/>
                      </a:cubicBezTo>
                      <a:cubicBezTo>
                        <a:pt x="3248684" y="3040388"/>
                        <a:pt x="2905551" y="2880070"/>
                        <a:pt x="492135" y="2952749"/>
                      </a:cubicBezTo>
                      <a:cubicBezTo>
                        <a:pt x="219182" y="2941742"/>
                        <a:pt x="-17079" y="2756148"/>
                        <a:pt x="0" y="2460614"/>
                      </a:cubicBezTo>
                      <a:cubicBezTo>
                        <a:pt x="-38581" y="1770820"/>
                        <a:pt x="63341" y="1078720"/>
                        <a:pt x="0" y="492135"/>
                      </a:cubicBezTo>
                      <a:close/>
                    </a:path>
                  </a:pathLst>
                </a:custGeom>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26</xdr:col>
      <xdr:colOff>44223</xdr:colOff>
      <xdr:row>0</xdr:row>
      <xdr:rowOff>45924</xdr:rowOff>
    </xdr:from>
    <xdr:to>
      <xdr:col>31</xdr:col>
      <xdr:colOff>574903</xdr:colOff>
      <xdr:row>2</xdr:row>
      <xdr:rowOff>58129</xdr:rowOff>
    </xdr:to>
    <xdr:pic>
      <xdr:nvPicPr>
        <xdr:cNvPr id="14" name="Picture 13">
          <a:extLst>
            <a:ext uri="{FF2B5EF4-FFF2-40B4-BE49-F238E27FC236}">
              <a16:creationId xmlns:a16="http://schemas.microsoft.com/office/drawing/2014/main" id="{E8DA8DD8-85B7-4EE5-A931-4C78AB3C1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06937" y="45924"/>
          <a:ext cx="3592286" cy="692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81643</xdr:colOff>
      <xdr:row>3</xdr:row>
      <xdr:rowOff>40821</xdr:rowOff>
    </xdr:from>
    <xdr:to>
      <xdr:col>16</xdr:col>
      <xdr:colOff>421822</xdr:colOff>
      <xdr:row>17</xdr:row>
      <xdr:rowOff>54429</xdr:rowOff>
    </xdr:to>
    <xdr:graphicFrame macro="">
      <xdr:nvGraphicFramePr>
        <xdr:cNvPr id="19" name="Chart 18">
          <a:extLst>
            <a:ext uri="{FF2B5EF4-FFF2-40B4-BE49-F238E27FC236}">
              <a16:creationId xmlns:a16="http://schemas.microsoft.com/office/drawing/2014/main" id="{8E7151DB-C933-4908-9EA7-0886AB4E2E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26</xdr:col>
      <xdr:colOff>32017</xdr:colOff>
      <xdr:row>8</xdr:row>
      <xdr:rowOff>58431</xdr:rowOff>
    </xdr:from>
    <xdr:to>
      <xdr:col>31</xdr:col>
      <xdr:colOff>661147</xdr:colOff>
      <xdr:row>17</xdr:row>
      <xdr:rowOff>96531</xdr:rowOff>
    </xdr:to>
    <mc:AlternateContent xmlns:mc="http://schemas.openxmlformats.org/markup-compatibility/2006" xmlns:a14="http://schemas.microsoft.com/office/drawing/2010/main">
      <mc:Choice Requires="a14">
        <xdr:graphicFrame macro="">
          <xdr:nvGraphicFramePr>
            <xdr:cNvPr id="23" name="Total Revenue 1">
              <a:extLst>
                <a:ext uri="{FF2B5EF4-FFF2-40B4-BE49-F238E27FC236}">
                  <a16:creationId xmlns:a16="http://schemas.microsoft.com/office/drawing/2014/main" id="{B3DA5509-AB67-4EDE-894C-F24C1B006BE6}"/>
                </a:ext>
              </a:extLst>
            </xdr:cNvPr>
            <xdr:cNvGraphicFramePr/>
          </xdr:nvGraphicFramePr>
          <xdr:xfrm>
            <a:off x="0" y="0"/>
            <a:ext cx="0" cy="0"/>
          </xdr:xfrm>
          <a:graphic>
            <a:graphicData uri="http://schemas.microsoft.com/office/drawing/2010/slicer">
              <sle:slicer xmlns:sle="http://schemas.microsoft.com/office/drawing/2010/slicer" name="Total Revenue 1"/>
            </a:graphicData>
          </a:graphic>
        </xdr:graphicFrame>
      </mc:Choice>
      <mc:Fallback xmlns="">
        <xdr:sp macro="" textlink="">
          <xdr:nvSpPr>
            <xdr:cNvPr id="0" name=""/>
            <xdr:cNvSpPr>
              <a:spLocks noTextEdit="1"/>
            </xdr:cNvSpPr>
          </xdr:nvSpPr>
          <xdr:spPr>
            <a:xfrm>
              <a:off x="17445958" y="1873784"/>
              <a:ext cx="3654718" cy="1752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9</xdr:col>
      <xdr:colOff>81643</xdr:colOff>
      <xdr:row>18</xdr:row>
      <xdr:rowOff>0</xdr:rowOff>
    </xdr:from>
    <xdr:to>
      <xdr:col>16</xdr:col>
      <xdr:colOff>435428</xdr:colOff>
      <xdr:row>31</xdr:row>
      <xdr:rowOff>185057</xdr:rowOff>
    </xdr:to>
    <xdr:graphicFrame macro="">
      <xdr:nvGraphicFramePr>
        <xdr:cNvPr id="24" name="Chart 23">
          <a:extLst>
            <a:ext uri="{FF2B5EF4-FFF2-40B4-BE49-F238E27FC236}">
              <a16:creationId xmlns:a16="http://schemas.microsoft.com/office/drawing/2014/main" id="{2759857E-5720-4EF8-B5F8-973A75E94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54429</xdr:colOff>
      <xdr:row>3</xdr:row>
      <xdr:rowOff>27214</xdr:rowOff>
    </xdr:from>
    <xdr:to>
      <xdr:col>25</xdr:col>
      <xdr:colOff>421821</xdr:colOff>
      <xdr:row>17</xdr:row>
      <xdr:rowOff>40822</xdr:rowOff>
    </xdr:to>
    <xdr:graphicFrame macro="">
      <xdr:nvGraphicFramePr>
        <xdr:cNvPr id="3" name="Chart 2">
          <a:extLst>
            <a:ext uri="{FF2B5EF4-FFF2-40B4-BE49-F238E27FC236}">
              <a16:creationId xmlns:a16="http://schemas.microsoft.com/office/drawing/2014/main" id="{B4840677-B30A-46FD-B9A1-FF256E239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18</xdr:col>
      <xdr:colOff>489858</xdr:colOff>
      <xdr:row>15</xdr:row>
      <xdr:rowOff>108858</xdr:rowOff>
    </xdr:from>
    <xdr:ext cx="3360664" cy="593368"/>
    <xdr:sp macro="" textlink="">
      <xdr:nvSpPr>
        <xdr:cNvPr id="5" name="TextBox 4">
          <a:extLst>
            <a:ext uri="{FF2B5EF4-FFF2-40B4-BE49-F238E27FC236}">
              <a16:creationId xmlns:a16="http://schemas.microsoft.com/office/drawing/2014/main" id="{76C09981-0317-9D00-E3FD-926836B30C17}"/>
            </a:ext>
          </a:extLst>
        </xdr:cNvPr>
        <xdr:cNvSpPr txBox="1"/>
      </xdr:nvSpPr>
      <xdr:spPr>
        <a:xfrm>
          <a:off x="12260037" y="3265715"/>
          <a:ext cx="3360664" cy="5933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rgbClr val="633164"/>
              </a:solidFill>
              <a:effectLst/>
              <a:latin typeface="+mn-lt"/>
              <a:ea typeface="+mn-ea"/>
              <a:cs typeface="+mn-cs"/>
            </a:rPr>
            <a:t>Total Cash by Category as of 06/30/25</a:t>
          </a:r>
          <a:endParaRPr lang="en-US" sz="1600">
            <a:solidFill>
              <a:srgbClr val="633164"/>
            </a:solidFill>
            <a:effectLst/>
          </a:endParaRPr>
        </a:p>
        <a:p>
          <a:endParaRPr lang="en-US" sz="1600"/>
        </a:p>
      </xdr:txBody>
    </xdr:sp>
    <xdr:clientData/>
  </xdr:oneCellAnchor>
  <xdr:twoCellAnchor>
    <xdr:from>
      <xdr:col>17</xdr:col>
      <xdr:colOff>27215</xdr:colOff>
      <xdr:row>33</xdr:row>
      <xdr:rowOff>108857</xdr:rowOff>
    </xdr:from>
    <xdr:to>
      <xdr:col>25</xdr:col>
      <xdr:colOff>421821</xdr:colOff>
      <xdr:row>46</xdr:row>
      <xdr:rowOff>136071</xdr:rowOff>
    </xdr:to>
    <xdr:graphicFrame macro="">
      <xdr:nvGraphicFramePr>
        <xdr:cNvPr id="9" name="Chart 8">
          <a:extLst>
            <a:ext uri="{FF2B5EF4-FFF2-40B4-BE49-F238E27FC236}">
              <a16:creationId xmlns:a16="http://schemas.microsoft.com/office/drawing/2014/main" id="{684068B6-D097-49BC-811D-53CDDB718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40822</xdr:colOff>
      <xdr:row>18</xdr:row>
      <xdr:rowOff>0</xdr:rowOff>
    </xdr:from>
    <xdr:to>
      <xdr:col>25</xdr:col>
      <xdr:colOff>435428</xdr:colOff>
      <xdr:row>31</xdr:row>
      <xdr:rowOff>185057</xdr:rowOff>
    </xdr:to>
    <xdr:graphicFrame macro="">
      <xdr:nvGraphicFramePr>
        <xdr:cNvPr id="10" name="Chart 9">
          <a:extLst>
            <a:ext uri="{FF2B5EF4-FFF2-40B4-BE49-F238E27FC236}">
              <a16:creationId xmlns:a16="http://schemas.microsoft.com/office/drawing/2014/main" id="{E1CF3404-7EEF-44F5-94C3-8DE7395EE8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26</xdr:col>
      <xdr:colOff>34418</xdr:colOff>
      <xdr:row>25</xdr:row>
      <xdr:rowOff>155280</xdr:rowOff>
    </xdr:from>
    <xdr:to>
      <xdr:col>31</xdr:col>
      <xdr:colOff>554212</xdr:colOff>
      <xdr:row>34</xdr:row>
      <xdr:rowOff>241005</xdr:rowOff>
    </xdr:to>
    <mc:AlternateContent xmlns:mc="http://schemas.openxmlformats.org/markup-compatibility/2006" xmlns:a14="http://schemas.microsoft.com/office/drawing/2010/main">
      <mc:Choice Requires="a14">
        <xdr:graphicFrame macro="">
          <xdr:nvGraphicFramePr>
            <xdr:cNvPr id="11" name="Cash Analysis 1">
              <a:extLst>
                <a:ext uri="{FF2B5EF4-FFF2-40B4-BE49-F238E27FC236}">
                  <a16:creationId xmlns:a16="http://schemas.microsoft.com/office/drawing/2014/main" id="{F2AED887-CF96-4C45-AC73-3FBE939F6EE7}"/>
                </a:ext>
              </a:extLst>
            </xdr:cNvPr>
            <xdr:cNvGraphicFramePr/>
          </xdr:nvGraphicFramePr>
          <xdr:xfrm>
            <a:off x="0" y="0"/>
            <a:ext cx="0" cy="0"/>
          </xdr:xfrm>
          <a:graphic>
            <a:graphicData uri="http://schemas.microsoft.com/office/drawing/2010/slicer">
              <sle:slicer xmlns:sle="http://schemas.microsoft.com/office/drawing/2010/slicer" name="Cash Analysis 1"/>
            </a:graphicData>
          </a:graphic>
        </xdr:graphicFrame>
      </mc:Choice>
      <mc:Fallback xmlns="">
        <xdr:sp macro="" textlink="">
          <xdr:nvSpPr>
            <xdr:cNvPr id="0" name=""/>
            <xdr:cNvSpPr>
              <a:spLocks noTextEdit="1"/>
            </xdr:cNvSpPr>
          </xdr:nvSpPr>
          <xdr:spPr>
            <a:xfrm>
              <a:off x="17448359" y="5287574"/>
              <a:ext cx="3545382" cy="18002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26</xdr:col>
      <xdr:colOff>36818</xdr:colOff>
      <xdr:row>18</xdr:row>
      <xdr:rowOff>37622</xdr:rowOff>
    </xdr:from>
    <xdr:to>
      <xdr:col>31</xdr:col>
      <xdr:colOff>638736</xdr:colOff>
      <xdr:row>25</xdr:row>
      <xdr:rowOff>10407</xdr:rowOff>
    </xdr:to>
    <mc:AlternateContent xmlns:mc="http://schemas.openxmlformats.org/markup-compatibility/2006" xmlns:a14="http://schemas.microsoft.com/office/drawing/2010/main">
      <mc:Choice Requires="a14">
        <xdr:graphicFrame macro="">
          <xdr:nvGraphicFramePr>
            <xdr:cNvPr id="6" name="Service Area  1">
              <a:extLst>
                <a:ext uri="{FF2B5EF4-FFF2-40B4-BE49-F238E27FC236}">
                  <a16:creationId xmlns:a16="http://schemas.microsoft.com/office/drawing/2014/main" id="{80765FD6-2F38-4526-9CE7-207EA3A87AD4}"/>
                </a:ext>
              </a:extLst>
            </xdr:cNvPr>
            <xdr:cNvGraphicFramePr/>
          </xdr:nvGraphicFramePr>
          <xdr:xfrm>
            <a:off x="0" y="0"/>
            <a:ext cx="0" cy="0"/>
          </xdr:xfrm>
          <a:graphic>
            <a:graphicData uri="http://schemas.microsoft.com/office/drawing/2010/slicer">
              <sle:slicer xmlns:sle="http://schemas.microsoft.com/office/drawing/2010/slicer" name="Service Area  1"/>
            </a:graphicData>
          </a:graphic>
        </xdr:graphicFrame>
      </mc:Choice>
      <mc:Fallback xmlns="">
        <xdr:sp macro="" textlink="">
          <xdr:nvSpPr>
            <xdr:cNvPr id="0" name=""/>
            <xdr:cNvSpPr>
              <a:spLocks noTextEdit="1"/>
            </xdr:cNvSpPr>
          </xdr:nvSpPr>
          <xdr:spPr>
            <a:xfrm>
              <a:off x="17450759" y="3757975"/>
              <a:ext cx="3627506" cy="13847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0</xdr:col>
      <xdr:colOff>81644</xdr:colOff>
      <xdr:row>32</xdr:row>
      <xdr:rowOff>95249</xdr:rowOff>
    </xdr:from>
    <xdr:to>
      <xdr:col>8</xdr:col>
      <xdr:colOff>190501</xdr:colOff>
      <xdr:row>46</xdr:row>
      <xdr:rowOff>136070</xdr:rowOff>
    </xdr:to>
    <xdr:graphicFrame macro="">
      <xdr:nvGraphicFramePr>
        <xdr:cNvPr id="15" name="Chart 14">
          <a:extLst>
            <a:ext uri="{FF2B5EF4-FFF2-40B4-BE49-F238E27FC236}">
              <a16:creationId xmlns:a16="http://schemas.microsoft.com/office/drawing/2014/main" id="{7290F49F-ED5F-4550-B00A-BB52AC495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26</xdr:col>
      <xdr:colOff>31215</xdr:colOff>
      <xdr:row>2</xdr:row>
      <xdr:rowOff>85645</xdr:rowOff>
    </xdr:from>
    <xdr:to>
      <xdr:col>31</xdr:col>
      <xdr:colOff>683559</xdr:colOff>
      <xdr:row>7</xdr:row>
      <xdr:rowOff>137672</xdr:rowOff>
    </xdr:to>
    <mc:AlternateContent xmlns:mc="http://schemas.openxmlformats.org/markup-compatibility/2006" xmlns:a14="http://schemas.microsoft.com/office/drawing/2010/main">
      <mc:Choice Requires="a14">
        <xdr:graphicFrame macro="">
          <xdr:nvGraphicFramePr>
            <xdr:cNvPr id="2" name="Category 1">
              <a:extLst>
                <a:ext uri="{FF2B5EF4-FFF2-40B4-BE49-F238E27FC236}">
                  <a16:creationId xmlns:a16="http://schemas.microsoft.com/office/drawing/2014/main" id="{50C287CC-9735-47CD-A23B-7EFB451887E5}"/>
                </a:ext>
              </a:extLst>
            </xdr:cNvPr>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17445156" y="757998"/>
              <a:ext cx="3677932" cy="100452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0</xdr:col>
      <xdr:colOff>78441</xdr:colOff>
      <xdr:row>18</xdr:row>
      <xdr:rowOff>11206</xdr:rowOff>
    </xdr:from>
    <xdr:to>
      <xdr:col>8</xdr:col>
      <xdr:colOff>224119</xdr:colOff>
      <xdr:row>31</xdr:row>
      <xdr:rowOff>123265</xdr:rowOff>
    </xdr:to>
    <xdr:graphicFrame macro="">
      <xdr:nvGraphicFramePr>
        <xdr:cNvPr id="8" name="Chart 7">
          <a:extLst>
            <a:ext uri="{FF2B5EF4-FFF2-40B4-BE49-F238E27FC236}">
              <a16:creationId xmlns:a16="http://schemas.microsoft.com/office/drawing/2014/main" id="{559BD6E1-1F0C-4640-88BD-A774544D8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89646</xdr:colOff>
      <xdr:row>3</xdr:row>
      <xdr:rowOff>33617</xdr:rowOff>
    </xdr:from>
    <xdr:to>
      <xdr:col>8</xdr:col>
      <xdr:colOff>235324</xdr:colOff>
      <xdr:row>17</xdr:row>
      <xdr:rowOff>67235</xdr:rowOff>
    </xdr:to>
    <xdr:graphicFrame macro="">
      <xdr:nvGraphicFramePr>
        <xdr:cNvPr id="12" name="Chart 11">
          <a:extLst>
            <a:ext uri="{FF2B5EF4-FFF2-40B4-BE49-F238E27FC236}">
              <a16:creationId xmlns:a16="http://schemas.microsoft.com/office/drawing/2014/main" id="{BF5C749B-B58D-4D67-9972-09AA17689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0.27765</cdr:x>
      <cdr:y>0.52284</cdr:y>
    </cdr:from>
    <cdr:to>
      <cdr:x>0.36</cdr:x>
      <cdr:y>0.6599</cdr:y>
    </cdr:to>
    <cdr:sp macro="" textlink="">
      <cdr:nvSpPr>
        <cdr:cNvPr id="2" name="TextBox 1">
          <a:extLst xmlns:a="http://schemas.openxmlformats.org/drawingml/2006/main">
            <a:ext uri="{FF2B5EF4-FFF2-40B4-BE49-F238E27FC236}">
              <a16:creationId xmlns:a16="http://schemas.microsoft.com/office/drawing/2014/main" id="{F579E411-49AA-B6C7-3937-DEC005BBEDA5}"/>
            </a:ext>
          </a:extLst>
        </cdr:cNvPr>
        <cdr:cNvSpPr txBox="1"/>
      </cdr:nvSpPr>
      <cdr:spPr>
        <a:xfrm xmlns:a="http://schemas.openxmlformats.org/drawingml/2006/main">
          <a:off x="1605642" y="1401536"/>
          <a:ext cx="476250"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0.25882</cdr:x>
      <cdr:y>0.42132</cdr:y>
    </cdr:from>
    <cdr:to>
      <cdr:x>0.42353</cdr:x>
      <cdr:y>0.58376</cdr:y>
    </cdr:to>
    <cdr:sp macro="" textlink="'Revenue PV'!$B$12">
      <cdr:nvSpPr>
        <cdr:cNvPr id="3" name="TextBox 2">
          <a:extLst xmlns:a="http://schemas.openxmlformats.org/drawingml/2006/main">
            <a:ext uri="{FF2B5EF4-FFF2-40B4-BE49-F238E27FC236}">
              <a16:creationId xmlns:a16="http://schemas.microsoft.com/office/drawing/2014/main" id="{C06D8195-5B7C-478A-BD59-0991921F9C5C}"/>
            </a:ext>
          </a:extLst>
        </cdr:cNvPr>
        <cdr:cNvSpPr txBox="1"/>
      </cdr:nvSpPr>
      <cdr:spPr>
        <a:xfrm xmlns:a="http://schemas.openxmlformats.org/drawingml/2006/main">
          <a:off x="1496785" y="1129392"/>
          <a:ext cx="952500" cy="4354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t"/>
        <a:lstStyle xmlns:a="http://schemas.openxmlformats.org/drawingml/2006/main"/>
        <a:p xmlns:a="http://schemas.openxmlformats.org/drawingml/2006/main">
          <a:pPr marL="0" indent="0"/>
          <a:fld id="{6A01ADE9-3A12-410C-B5C4-C4E1F0A523CC}" type="TxLink">
            <a:rPr lang="en-US" sz="1800" b="1" i="0" u="none" strike="noStrike">
              <a:solidFill>
                <a:srgbClr val="633164"/>
              </a:solidFill>
              <a:latin typeface="Aptos Narrow"/>
              <a:ea typeface="+mn-ea"/>
              <a:cs typeface="+mn-cs"/>
            </a:rPr>
            <a:pPr marL="0" indent="0"/>
            <a:t>49.79M</a:t>
          </a:fld>
          <a:endParaRPr lang="en-US" sz="1800" b="1" i="0" u="none" strike="noStrike">
            <a:solidFill>
              <a:srgbClr val="633164"/>
            </a:solidFill>
            <a:latin typeface="Aptos Narrow"/>
            <a:ea typeface="+mn-ea"/>
            <a:cs typeface="+mn-cs"/>
          </a:endParaRPr>
        </a:p>
      </cdr:txBody>
    </cdr:sp>
  </cdr:relSizeAnchor>
  <cdr:relSizeAnchor xmlns:cdr="http://schemas.openxmlformats.org/drawingml/2006/chartDrawing">
    <cdr:from>
      <cdr:x>0.27294</cdr:x>
      <cdr:y>0.53807</cdr:y>
    </cdr:from>
    <cdr:to>
      <cdr:x>0.41176</cdr:x>
      <cdr:y>0.67005</cdr:y>
    </cdr:to>
    <cdr:sp macro="" textlink="'Revenue PV'!$B$11">
      <cdr:nvSpPr>
        <cdr:cNvPr id="4" name="TextBox 3">
          <a:extLst xmlns:a="http://schemas.openxmlformats.org/drawingml/2006/main">
            <a:ext uri="{FF2B5EF4-FFF2-40B4-BE49-F238E27FC236}">
              <a16:creationId xmlns:a16="http://schemas.microsoft.com/office/drawing/2014/main" id="{DDA2F9C4-6D83-2FE1-5782-1630FD30E51A}"/>
            </a:ext>
          </a:extLst>
        </cdr:cNvPr>
        <cdr:cNvSpPr txBox="1"/>
      </cdr:nvSpPr>
      <cdr:spPr>
        <a:xfrm xmlns:a="http://schemas.openxmlformats.org/drawingml/2006/main">
          <a:off x="1578428" y="1442355"/>
          <a:ext cx="802821" cy="353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t"/>
        <a:lstStyle xmlns:a="http://schemas.openxmlformats.org/drawingml/2006/main"/>
        <a:p xmlns:a="http://schemas.openxmlformats.org/drawingml/2006/main">
          <a:pPr marL="0" indent="0"/>
          <a:fld id="{4A07C847-4EB2-4785-8631-42FF0D5535ED}" type="TxLink">
            <a:rPr lang="en-US" sz="1800" b="1" i="0" u="none" strike="noStrike">
              <a:solidFill>
                <a:srgbClr val="633164"/>
              </a:solidFill>
              <a:latin typeface="Aptos Narrow"/>
              <a:ea typeface="+mn-ea"/>
              <a:cs typeface="+mn-cs"/>
            </a:rPr>
            <a:pPr marL="0" indent="0"/>
            <a:t>100%</a:t>
          </a:fld>
          <a:endParaRPr lang="en-US" sz="1800" b="1" i="0" u="none" strike="noStrike">
            <a:solidFill>
              <a:srgbClr val="633164"/>
            </a:solidFill>
            <a:latin typeface="Aptos Narrow"/>
            <a:ea typeface="+mn-ea"/>
            <a:cs typeface="+mn-cs"/>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0.24648</cdr:x>
      <cdr:y>0.41171</cdr:y>
    </cdr:from>
    <cdr:to>
      <cdr:x>0.40845</cdr:x>
      <cdr:y>0.65476</cdr:y>
    </cdr:to>
    <cdr:sp macro="" textlink="'Rev and Exp PV'!$B$21">
      <cdr:nvSpPr>
        <cdr:cNvPr id="4" name="TextBox 3">
          <a:extLst xmlns:a="http://schemas.openxmlformats.org/drawingml/2006/main">
            <a:ext uri="{FF2B5EF4-FFF2-40B4-BE49-F238E27FC236}">
              <a16:creationId xmlns:a16="http://schemas.microsoft.com/office/drawing/2014/main" id="{6BC781B9-89EB-6FD7-E7EF-D23D959A8EE3}"/>
            </a:ext>
          </a:extLst>
        </cdr:cNvPr>
        <cdr:cNvSpPr txBox="1"/>
      </cdr:nvSpPr>
      <cdr:spPr>
        <a:xfrm xmlns:a="http://schemas.openxmlformats.org/drawingml/2006/main">
          <a:off x="1428750" y="1129393"/>
          <a:ext cx="938893" cy="6667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t"/>
        <a:lstStyle xmlns:a="http://schemas.openxmlformats.org/drawingml/2006/main"/>
        <a:p xmlns:a="http://schemas.openxmlformats.org/drawingml/2006/main">
          <a:pPr marL="0" indent="0"/>
          <a:fld id="{F8AA04BF-C32E-4194-BC49-24DC3E1675ED}" type="TxLink">
            <a:rPr lang="en-US" sz="1800" b="1" i="0" u="none" strike="noStrike">
              <a:solidFill>
                <a:srgbClr val="633164"/>
              </a:solidFill>
              <a:latin typeface="Aptos Narrow"/>
              <a:ea typeface="+mn-ea"/>
              <a:cs typeface="+mn-cs"/>
            </a:rPr>
            <a:pPr marL="0" indent="0"/>
            <a:t>47.77M</a:t>
          </a:fld>
          <a:endParaRPr lang="en-US" sz="1800" b="1" i="0" u="none" strike="noStrike">
            <a:solidFill>
              <a:srgbClr val="633164"/>
            </a:solidFill>
            <a:latin typeface="Aptos Narrow"/>
            <a:ea typeface="+mn-ea"/>
            <a:cs typeface="+mn-cs"/>
          </a:endParaRPr>
        </a:p>
      </cdr:txBody>
    </cdr:sp>
  </cdr:relSizeAnchor>
  <cdr:relSizeAnchor xmlns:cdr="http://schemas.openxmlformats.org/drawingml/2006/chartDrawing">
    <cdr:from>
      <cdr:x>0.26761</cdr:x>
      <cdr:y>0.51091</cdr:y>
    </cdr:from>
    <cdr:to>
      <cdr:x>0.43662</cdr:x>
      <cdr:y>0.65972</cdr:y>
    </cdr:to>
    <cdr:sp macro="" textlink="'Rev and Exp PV'!$B$20">
      <cdr:nvSpPr>
        <cdr:cNvPr id="5" name="TextBox 4">
          <a:extLst xmlns:a="http://schemas.openxmlformats.org/drawingml/2006/main">
            <a:ext uri="{FF2B5EF4-FFF2-40B4-BE49-F238E27FC236}">
              <a16:creationId xmlns:a16="http://schemas.microsoft.com/office/drawing/2014/main" id="{7134061A-5F8D-CCE3-A980-E9766461C7CA}"/>
            </a:ext>
          </a:extLst>
        </cdr:cNvPr>
        <cdr:cNvSpPr txBox="1"/>
      </cdr:nvSpPr>
      <cdr:spPr>
        <a:xfrm xmlns:a="http://schemas.openxmlformats.org/drawingml/2006/main">
          <a:off x="1551214" y="1401537"/>
          <a:ext cx="979715" cy="4082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t"/>
        <a:lstStyle xmlns:a="http://schemas.openxmlformats.org/drawingml/2006/main"/>
        <a:p xmlns:a="http://schemas.openxmlformats.org/drawingml/2006/main">
          <a:pPr marL="0" indent="0"/>
          <a:fld id="{9E6C1F7F-F13E-4E40-ABFD-3DD0DBFA6D0B}" type="TxLink">
            <a:rPr lang="en-US" sz="1800" b="1" i="0" u="none" strike="noStrike">
              <a:solidFill>
                <a:srgbClr val="633164"/>
              </a:solidFill>
              <a:latin typeface="Aptos Narrow"/>
              <a:ea typeface="+mn-ea"/>
              <a:cs typeface="+mn-cs"/>
            </a:rPr>
            <a:pPr marL="0" indent="0"/>
            <a:t>100%</a:t>
          </a:fld>
          <a:endParaRPr lang="en-US" sz="1800" b="1" i="0" u="none" strike="noStrike">
            <a:solidFill>
              <a:srgbClr val="633164"/>
            </a:solidFill>
            <a:latin typeface="Aptos Narrow"/>
            <a:ea typeface="+mn-ea"/>
            <a:cs typeface="+mn-cs"/>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0.71918</cdr:x>
      <cdr:y>0.88325</cdr:y>
    </cdr:from>
    <cdr:to>
      <cdr:x>0.97717</cdr:x>
      <cdr:y>0.98985</cdr:y>
    </cdr:to>
    <cdr:sp macro="" textlink="'Pv Cash'!$B$17">
      <cdr:nvSpPr>
        <cdr:cNvPr id="2" name="TextBox 1">
          <a:extLst xmlns:a="http://schemas.openxmlformats.org/drawingml/2006/main">
            <a:ext uri="{FF2B5EF4-FFF2-40B4-BE49-F238E27FC236}">
              <a16:creationId xmlns:a16="http://schemas.microsoft.com/office/drawing/2014/main" id="{0AF927AA-3D4E-ADBD-9A09-0599091B21D8}"/>
            </a:ext>
          </a:extLst>
        </cdr:cNvPr>
        <cdr:cNvSpPr txBox="1"/>
      </cdr:nvSpPr>
      <cdr:spPr>
        <a:xfrm xmlns:a="http://schemas.openxmlformats.org/drawingml/2006/main">
          <a:off x="4286249" y="2367644"/>
          <a:ext cx="1537608"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5D0DFCF-DDDF-4865-8653-0A6E3FB9AB30}" type="TxLink">
            <a:rPr lang="en-US" sz="1600" b="1" i="0" u="none" strike="noStrike" kern="1200">
              <a:solidFill>
                <a:srgbClr val="633164"/>
              </a:solidFill>
              <a:latin typeface="Aptos Narrow"/>
            </a:rPr>
            <a:pPr/>
            <a:t> $21,609,755 </a:t>
          </a:fld>
          <a:endParaRPr lang="en-US" sz="1600" b="1" kern="1200">
            <a:solidFill>
              <a:srgbClr val="633164"/>
            </a:solidFil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0.3236</cdr:x>
      <cdr:y>0.58506</cdr:y>
    </cdr:from>
    <cdr:to>
      <cdr:x>0.60899</cdr:x>
      <cdr:y>0.72199</cdr:y>
    </cdr:to>
    <cdr:sp macro="" textlink="'PV A &amp; L'!$N$8">
      <cdr:nvSpPr>
        <cdr:cNvPr id="2" name="TextBox 1">
          <a:extLst xmlns:a="http://schemas.openxmlformats.org/drawingml/2006/main">
            <a:ext uri="{FF2B5EF4-FFF2-40B4-BE49-F238E27FC236}">
              <a16:creationId xmlns:a16="http://schemas.microsoft.com/office/drawing/2014/main" id="{71255548-1124-2C5C-DD3A-304218DF5DCB}"/>
            </a:ext>
          </a:extLst>
        </cdr:cNvPr>
        <cdr:cNvSpPr txBox="1"/>
      </cdr:nvSpPr>
      <cdr:spPr>
        <a:xfrm xmlns:a="http://schemas.openxmlformats.org/drawingml/2006/main">
          <a:off x="1613647" y="1580029"/>
          <a:ext cx="1423148" cy="3697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3FED2DA-72A3-44B1-A8E5-2BB9A1118E1C}" type="TxLink">
            <a:rPr lang="en-US" sz="1400" b="1" i="0" u="none" strike="noStrike" kern="1200">
              <a:solidFill>
                <a:srgbClr val="000000"/>
              </a:solidFill>
              <a:latin typeface="Aptos Narrow"/>
            </a:rPr>
            <a:pPr/>
            <a:t> </a:t>
          </a:fld>
          <a:endParaRPr lang="en-US" sz="1400" b="1" kern="1200"/>
        </a:p>
      </cdr:txBody>
    </cdr:sp>
  </cdr:relSizeAnchor>
  <cdr:relSizeAnchor xmlns:cdr="http://schemas.openxmlformats.org/drawingml/2006/chartDrawing">
    <cdr:from>
      <cdr:x>0.6</cdr:x>
      <cdr:y>0.58506</cdr:y>
    </cdr:from>
    <cdr:to>
      <cdr:x>0.92584</cdr:x>
      <cdr:y>0.6971</cdr:y>
    </cdr:to>
    <cdr:sp macro="" textlink="'PV A &amp; L'!$M$9">
      <cdr:nvSpPr>
        <cdr:cNvPr id="3" name="TextBox 2">
          <a:extLst xmlns:a="http://schemas.openxmlformats.org/drawingml/2006/main">
            <a:ext uri="{FF2B5EF4-FFF2-40B4-BE49-F238E27FC236}">
              <a16:creationId xmlns:a16="http://schemas.microsoft.com/office/drawing/2014/main" id="{4C9563DE-2ABA-EA7C-44FB-A09EC2ED389F}"/>
            </a:ext>
          </a:extLst>
        </cdr:cNvPr>
        <cdr:cNvSpPr txBox="1"/>
      </cdr:nvSpPr>
      <cdr:spPr>
        <a:xfrm xmlns:a="http://schemas.openxmlformats.org/drawingml/2006/main">
          <a:off x="2991971" y="1580030"/>
          <a:ext cx="1624853" cy="3025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fld id="{AEC0F2C4-EAED-47C4-96C2-FD8409B5FFEF}" type="TxLink">
            <a:rPr lang="en-US" sz="1400" b="1" i="0" u="none" strike="noStrike" kern="1200">
              <a:solidFill>
                <a:srgbClr val="000000"/>
              </a:solidFill>
              <a:latin typeface="Aptos Narrow"/>
              <a:ea typeface="+mn-ea"/>
              <a:cs typeface="+mn-cs"/>
            </a:rPr>
            <a:pPr marL="0" indent="0"/>
            <a:t> </a:t>
          </a:fld>
          <a:endParaRPr lang="en-US" sz="1400" b="1" i="0" u="none" strike="noStrike" kern="1200">
            <a:solidFill>
              <a:srgbClr val="000000"/>
            </a:solidFill>
            <a:latin typeface="Aptos Narrow"/>
            <a:ea typeface="+mn-ea"/>
            <a:cs typeface="+mn-cs"/>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11</xdr:col>
      <xdr:colOff>685800</xdr:colOff>
      <xdr:row>15</xdr:row>
      <xdr:rowOff>28575</xdr:rowOff>
    </xdr:from>
    <xdr:to>
      <xdr:col>14</xdr:col>
      <xdr:colOff>247650</xdr:colOff>
      <xdr:row>21</xdr:row>
      <xdr:rowOff>0</xdr:rowOff>
    </xdr:to>
    <mc:AlternateContent xmlns:mc="http://schemas.openxmlformats.org/markup-compatibility/2006" xmlns:a14="http://schemas.microsoft.com/office/drawing/2010/main">
      <mc:Choice Requires="a14">
        <xdr:graphicFrame macro="">
          <xdr:nvGraphicFramePr>
            <xdr:cNvPr id="3" name="Category">
              <a:extLst>
                <a:ext uri="{FF2B5EF4-FFF2-40B4-BE49-F238E27FC236}">
                  <a16:creationId xmlns:a16="http://schemas.microsoft.com/office/drawing/2014/main" id="{7DE15E1F-EE20-1555-F1F0-304CA169BC62}"/>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10220325" y="2905125"/>
              <a:ext cx="1809750" cy="11049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457200</xdr:colOff>
      <xdr:row>17</xdr:row>
      <xdr:rowOff>128587</xdr:rowOff>
    </xdr:from>
    <xdr:to>
      <xdr:col>10</xdr:col>
      <xdr:colOff>0</xdr:colOff>
      <xdr:row>32</xdr:row>
      <xdr:rowOff>14287</xdr:rowOff>
    </xdr:to>
    <xdr:graphicFrame macro="">
      <xdr:nvGraphicFramePr>
        <xdr:cNvPr id="5" name="Chart 4">
          <a:extLst>
            <a:ext uri="{FF2B5EF4-FFF2-40B4-BE49-F238E27FC236}">
              <a16:creationId xmlns:a16="http://schemas.microsoft.com/office/drawing/2014/main" id="{B3CF67D1-4D6B-A69D-603E-99F054AADF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151278</xdr:colOff>
      <xdr:row>20</xdr:row>
      <xdr:rowOff>23532</xdr:rowOff>
    </xdr:from>
    <xdr:to>
      <xdr:col>6</xdr:col>
      <xdr:colOff>212912</xdr:colOff>
      <xdr:row>34</xdr:row>
      <xdr:rowOff>99732</xdr:rowOff>
    </xdr:to>
    <xdr:graphicFrame macro="">
      <xdr:nvGraphicFramePr>
        <xdr:cNvPr id="3" name="Chart 2">
          <a:extLst>
            <a:ext uri="{FF2B5EF4-FFF2-40B4-BE49-F238E27FC236}">
              <a16:creationId xmlns:a16="http://schemas.microsoft.com/office/drawing/2014/main" id="{98B02A37-8F41-368D-1B9C-CDFF7B5E9D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829234</xdr:colOff>
      <xdr:row>17</xdr:row>
      <xdr:rowOff>169208</xdr:rowOff>
    </xdr:from>
    <xdr:to>
      <xdr:col>9</xdr:col>
      <xdr:colOff>605117</xdr:colOff>
      <xdr:row>32</xdr:row>
      <xdr:rowOff>54908</xdr:rowOff>
    </xdr:to>
    <xdr:graphicFrame macro="">
      <xdr:nvGraphicFramePr>
        <xdr:cNvPr id="5" name="Chart 4">
          <a:extLst>
            <a:ext uri="{FF2B5EF4-FFF2-40B4-BE49-F238E27FC236}">
              <a16:creationId xmlns:a16="http://schemas.microsoft.com/office/drawing/2014/main" id="{752524B0-B548-C6C9-4DAF-1D712BA600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2533650</xdr:colOff>
      <xdr:row>6</xdr:row>
      <xdr:rowOff>114300</xdr:rowOff>
    </xdr:from>
    <xdr:to>
      <xdr:col>4</xdr:col>
      <xdr:colOff>76200</xdr:colOff>
      <xdr:row>15</xdr:row>
      <xdr:rowOff>152400</xdr:rowOff>
    </xdr:to>
    <mc:AlternateContent xmlns:mc="http://schemas.openxmlformats.org/markup-compatibility/2006" xmlns:a14="http://schemas.microsoft.com/office/drawing/2010/main">
      <mc:Choice Requires="a14">
        <xdr:graphicFrame macro="">
          <xdr:nvGraphicFramePr>
            <xdr:cNvPr id="2" name="Total Revenue">
              <a:extLst>
                <a:ext uri="{FF2B5EF4-FFF2-40B4-BE49-F238E27FC236}">
                  <a16:creationId xmlns:a16="http://schemas.microsoft.com/office/drawing/2014/main" id="{8977436B-0E66-16A1-2E04-89CE5892312C}"/>
                </a:ext>
              </a:extLst>
            </xdr:cNvPr>
            <xdr:cNvGraphicFramePr/>
          </xdr:nvGraphicFramePr>
          <xdr:xfrm>
            <a:off x="0" y="0"/>
            <a:ext cx="0" cy="0"/>
          </xdr:xfrm>
          <a:graphic>
            <a:graphicData uri="http://schemas.microsoft.com/office/drawing/2010/slicer">
              <sle:slicer xmlns:sle="http://schemas.microsoft.com/office/drawing/2010/slicer" name="Total Revenue"/>
            </a:graphicData>
          </a:graphic>
        </xdr:graphicFrame>
      </mc:Choice>
      <mc:Fallback xmlns="">
        <xdr:sp macro="" textlink="">
          <xdr:nvSpPr>
            <xdr:cNvPr id="0" name=""/>
            <xdr:cNvSpPr>
              <a:spLocks noTextEdit="1"/>
            </xdr:cNvSpPr>
          </xdr:nvSpPr>
          <xdr:spPr>
            <a:xfrm>
              <a:off x="6429375" y="1257300"/>
              <a:ext cx="3600450" cy="1752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4</xdr:col>
      <xdr:colOff>228600</xdr:colOff>
      <xdr:row>11</xdr:row>
      <xdr:rowOff>14287</xdr:rowOff>
    </xdr:from>
    <xdr:to>
      <xdr:col>11</xdr:col>
      <xdr:colOff>533400</xdr:colOff>
      <xdr:row>25</xdr:row>
      <xdr:rowOff>90487</xdr:rowOff>
    </xdr:to>
    <xdr:graphicFrame macro="">
      <xdr:nvGraphicFramePr>
        <xdr:cNvPr id="3" name="Chart 2">
          <a:extLst>
            <a:ext uri="{FF2B5EF4-FFF2-40B4-BE49-F238E27FC236}">
              <a16:creationId xmlns:a16="http://schemas.microsoft.com/office/drawing/2014/main" id="{29D22113-89E5-DDE6-EB88-C8FB6A0231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161924</xdr:colOff>
      <xdr:row>6</xdr:row>
      <xdr:rowOff>123825</xdr:rowOff>
    </xdr:from>
    <xdr:to>
      <xdr:col>12</xdr:col>
      <xdr:colOff>152399</xdr:colOff>
      <xdr:row>14</xdr:row>
      <xdr:rowOff>66675</xdr:rowOff>
    </xdr:to>
    <mc:AlternateContent xmlns:mc="http://schemas.openxmlformats.org/markup-compatibility/2006" xmlns:a14="http://schemas.microsoft.com/office/drawing/2010/main">
      <mc:Choice Requires="a14">
        <xdr:graphicFrame macro="">
          <xdr:nvGraphicFramePr>
            <xdr:cNvPr id="2" name="Expenses by Service Area">
              <a:extLst>
                <a:ext uri="{FF2B5EF4-FFF2-40B4-BE49-F238E27FC236}">
                  <a16:creationId xmlns:a16="http://schemas.microsoft.com/office/drawing/2014/main" id="{52F54347-FAB7-E6A0-60C9-8BF5B83C225C}"/>
                </a:ext>
              </a:extLst>
            </xdr:cNvPr>
            <xdr:cNvGraphicFramePr/>
          </xdr:nvGraphicFramePr>
          <xdr:xfrm>
            <a:off x="0" y="0"/>
            <a:ext cx="0" cy="0"/>
          </xdr:xfrm>
          <a:graphic>
            <a:graphicData uri="http://schemas.microsoft.com/office/drawing/2010/slicer">
              <sle:slicer xmlns:sle="http://schemas.microsoft.com/office/drawing/2010/slicer" name="Expenses by Service Area"/>
            </a:graphicData>
          </a:graphic>
        </xdr:graphicFrame>
      </mc:Choice>
      <mc:Fallback xmlns="">
        <xdr:sp macro="" textlink="">
          <xdr:nvSpPr>
            <xdr:cNvPr id="0" name=""/>
            <xdr:cNvSpPr>
              <a:spLocks noTextEdit="1"/>
            </xdr:cNvSpPr>
          </xdr:nvSpPr>
          <xdr:spPr>
            <a:xfrm>
              <a:off x="6715124" y="1266825"/>
              <a:ext cx="3038475" cy="14668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457200</xdr:colOff>
      <xdr:row>8</xdr:row>
      <xdr:rowOff>9525</xdr:rowOff>
    </xdr:from>
    <xdr:to>
      <xdr:col>15</xdr:col>
      <xdr:colOff>57150</xdr:colOff>
      <xdr:row>17</xdr:row>
      <xdr:rowOff>57150</xdr:rowOff>
    </xdr:to>
    <mc:AlternateContent xmlns:mc="http://schemas.openxmlformats.org/markup-compatibility/2006" xmlns:a14="http://schemas.microsoft.com/office/drawing/2010/main">
      <mc:Choice Requires="a14">
        <xdr:graphicFrame macro="">
          <xdr:nvGraphicFramePr>
            <xdr:cNvPr id="2" name="Service Area ">
              <a:extLst>
                <a:ext uri="{FF2B5EF4-FFF2-40B4-BE49-F238E27FC236}">
                  <a16:creationId xmlns:a16="http://schemas.microsoft.com/office/drawing/2014/main" id="{BCA0136B-1DB6-1E76-CB5D-440D260F3889}"/>
                </a:ext>
              </a:extLst>
            </xdr:cNvPr>
            <xdr:cNvGraphicFramePr/>
          </xdr:nvGraphicFramePr>
          <xdr:xfrm>
            <a:off x="0" y="0"/>
            <a:ext cx="0" cy="0"/>
          </xdr:xfrm>
          <a:graphic>
            <a:graphicData uri="http://schemas.microsoft.com/office/drawing/2010/slicer">
              <sle:slicer xmlns:sle="http://schemas.microsoft.com/office/drawing/2010/slicer" name="Service Area "/>
            </a:graphicData>
          </a:graphic>
        </xdr:graphicFrame>
      </mc:Choice>
      <mc:Fallback xmlns="">
        <xdr:sp macro="" textlink="">
          <xdr:nvSpPr>
            <xdr:cNvPr id="0" name=""/>
            <xdr:cNvSpPr>
              <a:spLocks noTextEdit="1"/>
            </xdr:cNvSpPr>
          </xdr:nvSpPr>
          <xdr:spPr>
            <a:xfrm>
              <a:off x="9086850" y="1533525"/>
              <a:ext cx="3257550" cy="1762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5</xdr:col>
      <xdr:colOff>290512</xdr:colOff>
      <xdr:row>11</xdr:row>
      <xdr:rowOff>52387</xdr:rowOff>
    </xdr:from>
    <xdr:to>
      <xdr:col>12</xdr:col>
      <xdr:colOff>595312</xdr:colOff>
      <xdr:row>25</xdr:row>
      <xdr:rowOff>128587</xdr:rowOff>
    </xdr:to>
    <xdr:graphicFrame macro="">
      <xdr:nvGraphicFramePr>
        <xdr:cNvPr id="2" name="Chart 1">
          <a:extLst>
            <a:ext uri="{FF2B5EF4-FFF2-40B4-BE49-F238E27FC236}">
              <a16:creationId xmlns:a16="http://schemas.microsoft.com/office/drawing/2014/main" id="{FDC1A27C-DC34-65CB-849C-67A532C5AC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erman Lasso" refreshedDate="45952.626291898145" createdVersion="8" refreshedVersion="8" minRefreshableVersion="3" recordCount="4" xr:uid="{07854D73-FC18-4F28-880C-96075F69C43C}">
  <cacheSource type="worksheet">
    <worksheetSource ref="A14:B18" sheet="Revenue PV"/>
  </cacheSource>
  <cacheFields count="2">
    <cacheField name="Total Revenue" numFmtId="0">
      <sharedItems count="4">
        <s v="Contributions, foundations, trusts and bequests"/>
        <s v="Other Revenue and Support"/>
        <s v="Grants"/>
        <s v="Contributed facilities, goods and services"/>
      </sharedItems>
    </cacheField>
    <cacheField name="Total" numFmtId="0">
      <sharedItems containsSemiMixedTypes="0" containsString="0" containsNumber="1" containsInteger="1" minValue="828877" maxValue="33836007"/>
    </cacheField>
  </cacheFields>
  <extLst>
    <ext xmlns:x14="http://schemas.microsoft.com/office/spreadsheetml/2009/9/main" uri="{725AE2AE-9491-48be-B2B4-4EB974FC3084}">
      <x14:pivotCacheDefinition pivotCacheId="139008023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erman Lasso" refreshedDate="45952.632948842591" createdVersion="8" refreshedVersion="8" minRefreshableVersion="3" recordCount="3" xr:uid="{E21AD0AA-CC46-409A-8B0C-58A60507B663}">
  <cacheSource type="worksheet">
    <worksheetSource ref="A2:B5" sheet="Expenses PV"/>
  </cacheSource>
  <cacheFields count="2">
    <cacheField name="Service Area" numFmtId="0">
      <sharedItems count="3">
        <s v="Community Based Services"/>
        <s v="Child Development Services"/>
        <s v="General Admin, Fund Raising &amp; Ministries"/>
      </sharedItems>
    </cacheField>
    <cacheField name="Total" numFmtId="43">
      <sharedItems containsSemiMixedTypes="0" containsString="0" containsNumber="1" containsInteger="1" minValue="5124819" maxValue="23829994"/>
    </cacheField>
  </cacheFields>
  <extLst>
    <ext xmlns:x14="http://schemas.microsoft.com/office/spreadsheetml/2009/9/main" uri="{725AE2AE-9491-48be-B2B4-4EB974FC3084}">
      <x14:pivotCacheDefinition pivotCacheId="165109497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erman Lasso" refreshedDate="45953.406212499998" createdVersion="8" refreshedVersion="8" minRefreshableVersion="3" recordCount="4" xr:uid="{8E7CE88D-708D-48CF-94A4-B9B88321CC20}">
  <cacheSource type="worksheet">
    <worksheetSource ref="B27:N31" sheet="Cash Analysis"/>
  </cacheSource>
  <cacheFields count="13">
    <cacheField name="Category" numFmtId="0">
      <sharedItems count="4">
        <s v="Cash - Unrestricted"/>
        <s v="Cash  - Restricted"/>
        <s v="ADOM Receivable Unrestricted"/>
        <s v="ADOM Receivable Restricted"/>
      </sharedItems>
    </cacheField>
    <cacheField name="7/31/2024" numFmtId="44">
      <sharedItems containsSemiMixedTypes="0" containsString="0" containsNumber="1" minValue="138556" maxValue="7803909"/>
    </cacheField>
    <cacheField name="8/31/2024" numFmtId="44">
      <sharedItems containsSemiMixedTypes="0" containsString="0" containsNumber="1" minValue="153008" maxValue="8957926"/>
    </cacheField>
    <cacheField name="9/30/2024" numFmtId="44">
      <sharedItems containsSemiMixedTypes="0" containsString="0" containsNumber="1" minValue="183174" maxValue="8695146"/>
    </cacheField>
    <cacheField name="10/31/2024" numFmtId="44">
      <sharedItems containsSemiMixedTypes="0" containsString="0" containsNumber="1" minValue="248830" maxValue="9558025"/>
    </cacheField>
    <cacheField name="11/30/2024" numFmtId="44">
      <sharedItems containsSemiMixedTypes="0" containsString="0" containsNumber="1" minValue="261239" maxValue="7545280"/>
    </cacheField>
    <cacheField name="12/31/2024" numFmtId="44">
      <sharedItems containsSemiMixedTypes="0" containsString="0" containsNumber="1" minValue="265476" maxValue="8624543"/>
    </cacheField>
    <cacheField name="1/31/2025" numFmtId="44">
      <sharedItems containsSemiMixedTypes="0" containsString="0" containsNumber="1" minValue="280909" maxValue="7472031"/>
    </cacheField>
    <cacheField name="2/28/2025" numFmtId="44">
      <sharedItems containsSemiMixedTypes="0" containsString="0" containsNumber="1" minValue="268552" maxValue="8816465"/>
    </cacheField>
    <cacheField name="3/31/2025" numFmtId="44">
      <sharedItems containsSemiMixedTypes="0" containsString="0" containsNumber="1" minValue="234831" maxValue="8318027"/>
    </cacheField>
    <cacheField name="4/30/2025" numFmtId="44">
      <sharedItems containsSemiMixedTypes="0" containsString="0" containsNumber="1" minValue="186155" maxValue="7819370"/>
    </cacheField>
    <cacheField name="5/31/2025" numFmtId="44">
      <sharedItems containsSemiMixedTypes="0" containsString="0" containsNumber="1" minValue="202013" maxValue="9438280"/>
    </cacheField>
    <cacheField name="6/30/2025" numFmtId="44">
      <sharedItems containsSemiMixedTypes="0" containsString="0" containsNumber="1" minValue="193730" maxValue="10216209"/>
    </cacheField>
  </cacheFields>
  <extLst>
    <ext xmlns:x14="http://schemas.microsoft.com/office/spreadsheetml/2009/9/main" uri="{725AE2AE-9491-48be-B2B4-4EB974FC3084}">
      <x14:pivotCacheDefinition pivotCacheId="730353355"/>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erman Lasso" refreshedDate="45954.477145023149" createdVersion="8" refreshedVersion="8" minRefreshableVersion="3" recordCount="6" xr:uid="{C89E746D-8EF9-4873-AF10-C53E1CDC679E}">
  <cacheSource type="worksheet">
    <worksheetSource ref="A20:C26" sheet="Rev and Expenses by Division"/>
  </cacheSource>
  <cacheFields count="3">
    <cacheField name="Division" numFmtId="0">
      <sharedItems count="3">
        <s v="Community Based Services"/>
        <s v="Child Development Services"/>
        <s v="General Admin, Fund Raising &amp; Ministries"/>
      </sharedItems>
    </cacheField>
    <cacheField name="Category" numFmtId="0">
      <sharedItems count="2">
        <s v="Revenue"/>
        <s v="Expenses"/>
      </sharedItems>
    </cacheField>
    <cacheField name="Totals" numFmtId="43">
      <sharedItems containsSemiMixedTypes="0" containsString="0" containsNumber="1" containsInteger="1" minValue="4524493" maxValue="25459439"/>
    </cacheField>
  </cacheFields>
  <extLst>
    <ext xmlns:x14="http://schemas.microsoft.com/office/spreadsheetml/2009/9/main" uri="{725AE2AE-9491-48be-B2B4-4EB974FC3084}">
      <x14:pivotCacheDefinition pivotCacheId="1407745464"/>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erman Lasso" refreshedDate="46052.542985995373" createdVersion="8" refreshedVersion="8" minRefreshableVersion="3" recordCount="2" xr:uid="{04424A20-62AE-4D0E-AB08-6615D7415753}">
  <cacheSource type="worksheet">
    <worksheetSource ref="A37:M39" sheet="Assets &amp; Liabilities Data"/>
  </cacheSource>
  <cacheFields count="13">
    <cacheField name="Category" numFmtId="0">
      <sharedItems count="2">
        <s v="      Total Assets"/>
        <s v="      Total Liabilities"/>
      </sharedItems>
    </cacheField>
    <cacheField name="7/31/2024" numFmtId="164">
      <sharedItems containsSemiMixedTypes="0" containsString="0" containsNumber="1" containsInteger="1" minValue="1861715" maxValue="55352664"/>
    </cacheField>
    <cacheField name="8/31/2024" numFmtId="164">
      <sharedItems containsSemiMixedTypes="0" containsString="0" containsNumber="1" containsInteger="1" minValue="2031442" maxValue="55374021"/>
    </cacheField>
    <cacheField name="9/30/2024" numFmtId="164">
      <sharedItems containsSemiMixedTypes="0" containsString="0" containsNumber="1" containsInteger="1" minValue="2076554" maxValue="55563505"/>
    </cacheField>
    <cacheField name="10/31/2024" numFmtId="164">
      <sharedItems containsSemiMixedTypes="0" containsString="0" containsNumber="1" containsInteger="1" minValue="1903904" maxValue="55536381"/>
    </cacheField>
    <cacheField name="11/30/2024" numFmtId="164">
      <sharedItems containsSemiMixedTypes="0" containsString="0" containsNumber="1" containsInteger="1" minValue="1467416" maxValue="56858526"/>
    </cacheField>
    <cacheField name="12/31/2024" numFmtId="164">
      <sharedItems containsSemiMixedTypes="0" containsString="0" containsNumber="1" containsInteger="1" minValue="1571334" maxValue="56946854"/>
    </cacheField>
    <cacheField name="1/31/2025" numFmtId="164">
      <sharedItems containsSemiMixedTypes="0" containsString="0" containsNumber="1" containsInteger="1" minValue="1670085" maxValue="57179465"/>
    </cacheField>
    <cacheField name="2/28/2025" numFmtId="164">
      <sharedItems containsSemiMixedTypes="0" containsString="0" containsNumber="1" containsInteger="1" minValue="1650147" maxValue="57473158"/>
    </cacheField>
    <cacheField name="3/31/2025" numFmtId="164">
      <sharedItems containsSemiMixedTypes="0" containsString="0" containsNumber="1" containsInteger="1" minValue="1853100" maxValue="57657769"/>
    </cacheField>
    <cacheField name="4/30/2025" numFmtId="164">
      <sharedItems containsSemiMixedTypes="0" containsString="0" containsNumber="1" containsInteger="1" minValue="2288818" maxValue="58524098"/>
    </cacheField>
    <cacheField name="5/31/2025" numFmtId="164">
      <sharedItems containsSemiMixedTypes="0" containsString="0" containsNumber="1" containsInteger="1" minValue="1924801" maxValue="58289904"/>
    </cacheField>
    <cacheField name="6/30/2025" numFmtId="164">
      <sharedItems containsSemiMixedTypes="0" containsString="0" containsNumber="1" containsInteger="1" minValue="2037220" maxValue="58918404"/>
    </cacheField>
  </cacheFields>
  <extLst>
    <ext xmlns:x14="http://schemas.microsoft.com/office/spreadsheetml/2009/9/main" uri="{725AE2AE-9491-48be-B2B4-4EB974FC3084}">
      <x14:pivotCacheDefinition pivotCacheId="132418049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n v="3888106"/>
  </r>
  <r>
    <x v="1"/>
    <n v="828877"/>
  </r>
  <r>
    <x v="2"/>
    <n v="33836007"/>
  </r>
  <r>
    <x v="3"/>
    <n v="11237958"/>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n v="23829994"/>
  </r>
  <r>
    <x v="1"/>
    <n v="18814433"/>
  </r>
  <r>
    <x v="2"/>
    <n v="5124819"/>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n v="7803909"/>
    <n v="8957926"/>
    <n v="8695146"/>
    <n v="9558025"/>
    <n v="7545280"/>
    <n v="8624543"/>
    <n v="7472031"/>
    <n v="8816465"/>
    <n v="8318027"/>
    <n v="7819370"/>
    <n v="9438280"/>
    <n v="10216209"/>
  </r>
  <r>
    <x v="1"/>
    <n v="138556"/>
    <n v="153008"/>
    <n v="183174"/>
    <n v="248830"/>
    <n v="261239"/>
    <n v="265476"/>
    <n v="280909"/>
    <n v="268552"/>
    <n v="234831"/>
    <n v="186155"/>
    <n v="202013"/>
    <n v="193730"/>
  </r>
  <r>
    <x v="2"/>
    <n v="6096080.6400000006"/>
    <n v="6187231.4700000007"/>
    <n v="6320742.6000000015"/>
    <n v="6358215.6900000013"/>
    <n v="6410197.4200000018"/>
    <n v="6508804.6300000018"/>
    <n v="6587723.700000002"/>
    <n v="6619248.0000000019"/>
    <n v="6722963.7400000012"/>
    <n v="6902754.9000000013"/>
    <n v="6954211.1100000013"/>
    <n v="7062519.3300000019"/>
  </r>
  <r>
    <x v="3"/>
    <n v="4725224.3599999994"/>
    <n v="4634073.5299999993"/>
    <n v="4571158.3999999985"/>
    <n v="4533685.3099999987"/>
    <n v="4481703.5799999982"/>
    <n v="4454493.3699999982"/>
    <n v="4375574.299999998"/>
    <n v="4344049.9999999981"/>
    <n v="4308351.2599999988"/>
    <n v="4228560.0999999987"/>
    <n v="4177103.8899999987"/>
    <n v="4137296.669999998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n v="25459439"/>
  </r>
  <r>
    <x v="1"/>
    <x v="0"/>
    <n v="19807016"/>
  </r>
  <r>
    <x v="2"/>
    <x v="0"/>
    <n v="4524493"/>
  </r>
  <r>
    <x v="0"/>
    <x v="1"/>
    <n v="23829994"/>
  </r>
  <r>
    <x v="1"/>
    <x v="1"/>
    <n v="18814433"/>
  </r>
  <r>
    <x v="2"/>
    <x v="1"/>
    <n v="5124819"/>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n v="55352664"/>
    <n v="55374021"/>
    <n v="55563505"/>
    <n v="55536381"/>
    <n v="56858526"/>
    <n v="56946854"/>
    <n v="57179465"/>
    <n v="57473158"/>
    <n v="57657769"/>
    <n v="58524098"/>
    <n v="58289904"/>
    <n v="58918404"/>
  </r>
  <r>
    <x v="1"/>
    <n v="1861715"/>
    <n v="2031442"/>
    <n v="2076554"/>
    <n v="1903904"/>
    <n v="1467416"/>
    <n v="1571334"/>
    <n v="1670085"/>
    <n v="1650147"/>
    <n v="1853100"/>
    <n v="2288818"/>
    <n v="1924801"/>
    <n v="20372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A064EA2-78B2-46EA-8F99-01E3F4B4AD0E}" name="PivotTable2"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rowHeaderCaption="Category">
  <location ref="A3:M6" firstHeaderRow="0" firstDataRow="1" firstDataCol="1"/>
  <pivotFields count="13">
    <pivotField axis="axisRow" showAll="0">
      <items count="3">
        <item x="0"/>
        <item x="1"/>
        <item t="default"/>
      </items>
    </pivotField>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s>
  <rowFields count="1">
    <field x="0"/>
  </rowFields>
  <rowItems count="3">
    <i>
      <x/>
    </i>
    <i>
      <x v="1"/>
    </i>
    <i t="grand">
      <x/>
    </i>
  </rowItems>
  <colFields count="1">
    <field x="-2"/>
  </colFields>
  <colItems count="12">
    <i>
      <x/>
    </i>
    <i i="1">
      <x v="1"/>
    </i>
    <i i="2">
      <x v="2"/>
    </i>
    <i i="3">
      <x v="3"/>
    </i>
    <i i="4">
      <x v="4"/>
    </i>
    <i i="5">
      <x v="5"/>
    </i>
    <i i="6">
      <x v="6"/>
    </i>
    <i i="7">
      <x v="7"/>
    </i>
    <i i="8">
      <x v="8"/>
    </i>
    <i i="9">
      <x v="9"/>
    </i>
    <i i="10">
      <x v="10"/>
    </i>
    <i i="11">
      <x v="11"/>
    </i>
  </colItems>
  <dataFields count="12">
    <dataField name="07/31/24" fld="1" baseField="0" baseItem="0" numFmtId="164"/>
    <dataField name="08/31/24" fld="2" baseField="0" baseItem="0" numFmtId="164"/>
    <dataField name="09/30/24" fld="3" baseField="0" baseItem="0" numFmtId="164"/>
    <dataField name="10/31/24" fld="4" baseField="0" baseItem="0" numFmtId="164"/>
    <dataField name="11/30/24" fld="5" baseField="0" baseItem="0" numFmtId="164"/>
    <dataField name="12/31/24" fld="6" baseField="0" baseItem="0" numFmtId="164"/>
    <dataField name="1/31/25" fld="7" baseField="0" baseItem="0" numFmtId="164"/>
    <dataField name="2/28/25" fld="8" baseField="0" baseItem="0" numFmtId="164"/>
    <dataField name="3/31/25" fld="9" baseField="0" baseItem="0" numFmtId="164"/>
    <dataField name="4/30/25" fld="10" baseField="0" baseItem="0" numFmtId="164"/>
    <dataField name="05/31/25" fld="11" baseField="0" baseItem="0" numFmtId="164"/>
    <dataField name="06/30/25" fld="12" baseField="0" baseItem="0" numFmtId="164"/>
  </dataFields>
  <formats count="1">
    <format dxfId="7">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FE4192C-5AD0-4E74-AE0E-E0D52C11220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8" firstHeaderRow="1" firstDataRow="1" firstDataCol="1"/>
  <pivotFields count="2">
    <pivotField axis="axisRow" showAll="0">
      <items count="5">
        <item x="3"/>
        <item x="0"/>
        <item x="2"/>
        <item x="1"/>
        <item t="default"/>
      </items>
    </pivotField>
    <pivotField dataField="1" showAll="0"/>
  </pivotFields>
  <rowFields count="1">
    <field x="0"/>
  </rowFields>
  <rowItems count="5">
    <i>
      <x/>
    </i>
    <i>
      <x v="1"/>
    </i>
    <i>
      <x v="2"/>
    </i>
    <i>
      <x v="3"/>
    </i>
    <i t="grand">
      <x/>
    </i>
  </rowItems>
  <colItems count="1">
    <i/>
  </colItems>
  <dataFields count="1">
    <dataField name="Sum of Total" fld="1" baseField="0" baseItem="0" numFmtId="43"/>
  </data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9422996-B813-469C-A732-AE407680809A}"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5" firstHeaderRow="1" firstDataRow="1" firstDataCol="1"/>
  <pivotFields count="2">
    <pivotField axis="axisRow" showAll="0">
      <items count="4">
        <item h="1" x="1"/>
        <item h="1" x="0"/>
        <item x="2"/>
        <item t="default"/>
      </items>
    </pivotField>
    <pivotField dataField="1" numFmtId="43" showAll="0"/>
  </pivotFields>
  <rowFields count="1">
    <field x="0"/>
  </rowFields>
  <rowItems count="2">
    <i>
      <x v="2"/>
    </i>
    <i t="grand">
      <x/>
    </i>
  </rowItems>
  <colItems count="1">
    <i/>
  </colItems>
  <dataFields count="1">
    <dataField name="Sum of Total" fld="1" baseField="0" baseItem="0" numFmtId="4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B167F26-F3DB-4E88-BC32-FBB088EFBE28}" name="PivotTable5"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8" firstHeaderRow="1" firstDataRow="2" firstDataCol="1"/>
  <pivotFields count="3">
    <pivotField axis="axisRow" showAll="0">
      <items count="4">
        <item x="1"/>
        <item x="0"/>
        <item x="2"/>
        <item t="default"/>
      </items>
    </pivotField>
    <pivotField axis="axisCol" showAll="0" sortType="descending">
      <items count="3">
        <item x="0"/>
        <item x="1"/>
        <item t="default"/>
      </items>
    </pivotField>
    <pivotField dataField="1" numFmtId="43" showAll="0"/>
  </pivotFields>
  <rowFields count="1">
    <field x="0"/>
  </rowFields>
  <rowItems count="4">
    <i>
      <x/>
    </i>
    <i>
      <x v="1"/>
    </i>
    <i>
      <x v="2"/>
    </i>
    <i t="grand">
      <x/>
    </i>
  </rowItems>
  <colFields count="1">
    <field x="1"/>
  </colFields>
  <colItems count="3">
    <i>
      <x/>
    </i>
    <i>
      <x v="1"/>
    </i>
    <i t="grand">
      <x/>
    </i>
  </colItems>
  <dataFields count="1">
    <dataField name="Sum of Totals" fld="2" baseField="0" baseItem="0" numFmtId="4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4E2DB27-24BF-46B2-A9F4-AD65EB4128F6}" name="PivotTable3" cacheId="2"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A3:B15" firstHeaderRow="1" firstDataRow="1" firstDataCol="1" rowPageCount="1" colPageCount="1"/>
  <pivotFields count="13">
    <pivotField axis="axisPage" multipleItemSelectionAllowed="1" showAll="0">
      <items count="5">
        <item x="3"/>
        <item x="2"/>
        <item x="1"/>
        <item x="0"/>
        <item t="default"/>
      </items>
    </pivotField>
    <pivotField dataField="1" numFmtId="44" showAll="0"/>
    <pivotField dataField="1" numFmtId="44" showAll="0"/>
    <pivotField dataField="1" numFmtId="44" showAll="0"/>
    <pivotField dataField="1" numFmtId="44" showAll="0"/>
    <pivotField dataField="1" numFmtId="44" showAll="0"/>
    <pivotField dataField="1" numFmtId="44" showAll="0"/>
    <pivotField dataField="1" numFmtId="44" showAll="0"/>
    <pivotField dataField="1" numFmtId="44" showAll="0"/>
    <pivotField dataField="1" numFmtId="44" showAll="0"/>
    <pivotField dataField="1" numFmtId="44" showAll="0"/>
    <pivotField dataField="1" numFmtId="44" showAll="0"/>
    <pivotField dataField="1" numFmtId="44" showAll="0"/>
  </pivotFields>
  <rowFields count="1">
    <field x="-2"/>
  </rowFields>
  <rowItems count="12">
    <i>
      <x/>
    </i>
    <i i="1">
      <x v="1"/>
    </i>
    <i i="2">
      <x v="2"/>
    </i>
    <i i="3">
      <x v="3"/>
    </i>
    <i i="4">
      <x v="4"/>
    </i>
    <i i="5">
      <x v="5"/>
    </i>
    <i i="6">
      <x v="6"/>
    </i>
    <i i="7">
      <x v="7"/>
    </i>
    <i i="8">
      <x v="8"/>
    </i>
    <i i="9">
      <x v="9"/>
    </i>
    <i i="10">
      <x v="10"/>
    </i>
    <i i="11">
      <x v="11"/>
    </i>
  </rowItems>
  <colItems count="1">
    <i/>
  </colItems>
  <pageFields count="1">
    <pageField fld="0" hier="-1"/>
  </pageFields>
  <dataFields count="12">
    <dataField name="7/31/24" fld="1" baseField="0" baseItem="0" numFmtId="44"/>
    <dataField name="08/31/24" fld="2" baseField="0" baseItem="0" numFmtId="44"/>
    <dataField name="09/30/24" fld="3" baseField="0" baseItem="0" numFmtId="44"/>
    <dataField name="10/31/24" fld="4" baseField="0" baseItem="0" numFmtId="44"/>
    <dataField name="11/30/24" fld="5" baseField="0" baseItem="0" numFmtId="44"/>
    <dataField name="12/31/24" fld="6" baseField="0" baseItem="0" numFmtId="44"/>
    <dataField name="1/31/25" fld="7" baseField="0" baseItem="0" numFmtId="44"/>
    <dataField name="2/28/25" fld="8" baseField="0" baseItem="0" numFmtId="44"/>
    <dataField name="3/31/25" fld="9" baseField="0" baseItem="0" numFmtId="44"/>
    <dataField name="4/30/25" fld="10" baseField="0" baseItem="0" numFmtId="44"/>
    <dataField name="5/31/25" fld="11" baseField="0" baseItem="0" numFmtId="44"/>
    <dataField name="6/30/25" fld="12" baseField="0" baseItem="0" numFmtId="44"/>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1">
          <reference field="4294967294" count="1" selected="0">
            <x v="10"/>
          </reference>
        </references>
      </pivotArea>
    </chartFormat>
    <chartFormat chart="7"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otal_Revenue" xr10:uid="{6995E55C-D506-468B-B68C-B698ABD720EA}" sourceName="Total Revenue">
  <pivotTables>
    <pivotTable tabId="28" name="PivotTable2"/>
  </pivotTables>
  <data>
    <tabular pivotCacheId="1390080236">
      <items count="4">
        <i x="3" s="1"/>
        <i x="0" s="1"/>
        <i x="2"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Area1" xr10:uid="{0FBB49A1-557C-4944-A59C-43D1CDF8699A}" sourceName="Service Area">
  <pivotTables>
    <pivotTable tabId="29" name="PivotTable3"/>
  </pivotTables>
  <data>
    <tabular pivotCacheId="1651094971">
      <items count="3">
        <i x="1"/>
        <i x="0"/>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CF3C58A4-81FA-49C9-A140-F1CA1CF2341C}" sourceName="Category">
  <pivotTables>
    <pivotTable tabId="32" name="PivotTable3"/>
  </pivotTables>
  <data>
    <tabular pivotCacheId="730353355">
      <items count="4">
        <i x="3" s="1"/>
        <i x="2" s="1"/>
        <i x="1"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177B35A0-5338-4735-BE45-92DEDC9422FF}" sourceName="Division">
  <pivotTables>
    <pivotTable tabId="35" name="PivotTable5"/>
  </pivotTables>
  <data>
    <tabular pivotCacheId="1407745464">
      <items count="3">
        <i x="1" s="1"/>
        <i x="0"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1" xr10:uid="{FCD3A265-E5DE-43E2-AF6F-5FBFB39F2DF3}" sourceName="Category">
  <pivotTables>
    <pivotTable tabId="39" name="PivotTable2"/>
  </pivotTables>
  <data>
    <tabular pivotCacheId="1324180491">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2F2CC9A1-8552-4EBA-8A57-FAF70EC4BFD4}" cache="Slicer_Category1" caption="Assets &amp; Liabilities" style="Slicer Style 1"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otal Revenue" xr10:uid="{4BCFEECA-4BDD-4A75-B69F-B361E78912A0}" cache="Slicer_Total_Revenue" caption="Total Revenue" style="Slicer Style 1"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xpenses by Service Area" xr10:uid="{2DFDE04E-2D56-4D86-BC94-8B73063779B6}" cache="Slicer_Service_Area1" caption="Expenses by Service Area" style="Slicer Style 1"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Area " xr10:uid="{B2517D1F-3277-485F-B871-C3D83C7F7B63}" cache="Slicer_Division" caption="Service Area " style="Slicer Style 1"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sh Analysis" xr10:uid="{A6A2C436-79A6-47F6-AD16-8A762FA5AE76}" cache="Slicer_Category" caption="Cash Analysis" style="Slicer Style 1" rowHeight="257175"/>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sh Analysis 2" xr10:uid="{F607C2DA-EA83-472D-A5F0-B6FA2716D416}" cache="Slicer_Category" caption="Cash Analysis" style="Slicer Style 1" rowHeight="257175"/>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otal Revenue 1" xr10:uid="{53BFEB60-6F94-46CA-B2CC-B06EA2FD83FF}" cache="Slicer_Total_Revenue" caption="Total Revenue" style="Slicer Style 1" rowHeight="257175"/>
  <slicer name="Cash Analysis 1" xr10:uid="{F8E97D47-0CE6-4539-8048-01B50E938880}" cache="Slicer_Category" caption="Cash Analysis" style="Slicer Style 1" rowHeight="257175"/>
  <slicer name="Service Area  1" xr10:uid="{10F66F16-CEE5-4EE2-9BB4-05A90ACCBB83}" cache="Slicer_Division" caption="Service Area Expenses" style="Slicer Style 1" rowHeight="257175"/>
  <slicer name="Category 1" xr10:uid="{272A9683-D1B6-4515-A32B-32FAB7338196}" cache="Slicer_Category1" caption="Assets &amp; Liabilities as of 06/30/25" style="Slicer Style 1"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10.xml"/><Relationship Id="rId1" Type="http://schemas.openxmlformats.org/officeDocument/2006/relationships/pivotTable" Target="../pivotTables/pivotTable5.xml"/></Relationships>
</file>

<file path=xl/worksheets/_rels/sheet13.xml.rels><?xml version="1.0" encoding="UTF-8" standalone="yes"?>
<Relationships xmlns="http://schemas.openxmlformats.org/package/2006/relationships"><Relationship Id="rId2" Type="http://schemas.microsoft.com/office/2007/relationships/slicer" Target="../slicers/slicer6.x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drawing" Target="../drawings/drawing1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8.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65336-724F-4BF0-9756-C9DDCA49338C}">
  <sheetPr>
    <tabColor rgb="FF00B050"/>
  </sheetPr>
  <dimension ref="A1:O39"/>
  <sheetViews>
    <sheetView topLeftCell="A23" workbookViewId="0">
      <selection activeCell="F8" sqref="F8"/>
    </sheetView>
  </sheetViews>
  <sheetFormatPr defaultColWidth="9.1796875" defaultRowHeight="14.5" x14ac:dyDescent="0.35"/>
  <cols>
    <col min="1" max="1" width="30.1796875" bestFit="1" customWidth="1"/>
    <col min="2" max="13" width="15.26953125" bestFit="1" customWidth="1"/>
    <col min="14" max="14" width="14.26953125" bestFit="1" customWidth="1"/>
    <col min="15" max="15" width="11.26953125" bestFit="1" customWidth="1"/>
  </cols>
  <sheetData>
    <row r="1" spans="1:15" x14ac:dyDescent="0.35">
      <c r="B1" s="1">
        <v>45504</v>
      </c>
      <c r="C1" s="1">
        <v>45535</v>
      </c>
      <c r="D1" s="1">
        <v>45565</v>
      </c>
      <c r="E1" s="1">
        <v>45596</v>
      </c>
      <c r="F1" s="1">
        <v>45626</v>
      </c>
      <c r="G1" s="1">
        <v>45657</v>
      </c>
      <c r="H1" s="1">
        <v>45688</v>
      </c>
      <c r="I1" s="1">
        <v>45716</v>
      </c>
      <c r="J1" s="1">
        <v>45747</v>
      </c>
      <c r="K1" s="1">
        <v>45777</v>
      </c>
      <c r="L1" s="1">
        <v>45808</v>
      </c>
      <c r="M1" s="1">
        <v>45838</v>
      </c>
    </row>
    <row r="2" spans="1:15" ht="15" thickBot="1" x14ac:dyDescent="0.4">
      <c r="A2" s="3" t="s">
        <v>0</v>
      </c>
    </row>
    <row r="3" spans="1:15" x14ac:dyDescent="0.35">
      <c r="A3" s="2" t="s">
        <v>1</v>
      </c>
      <c r="B3" s="7">
        <v>7803909</v>
      </c>
      <c r="C3" s="8">
        <v>8957926</v>
      </c>
      <c r="D3" s="8">
        <v>8695146</v>
      </c>
      <c r="E3" s="8">
        <v>9558025</v>
      </c>
      <c r="F3" s="8">
        <v>7545280</v>
      </c>
      <c r="G3" s="8">
        <v>8624543</v>
      </c>
      <c r="H3" s="8">
        <v>7472031</v>
      </c>
      <c r="I3" s="8">
        <v>8816465</v>
      </c>
      <c r="J3" s="8">
        <v>8318027</v>
      </c>
      <c r="K3" s="8">
        <v>7819370</v>
      </c>
      <c r="L3" s="8">
        <v>9438280</v>
      </c>
      <c r="M3" s="9">
        <v>10216209.02</v>
      </c>
    </row>
    <row r="4" spans="1:15" x14ac:dyDescent="0.35">
      <c r="A4" s="2" t="s">
        <v>2</v>
      </c>
      <c r="B4" s="10">
        <v>5856217</v>
      </c>
      <c r="C4" s="11">
        <v>4680553</v>
      </c>
      <c r="D4" s="11">
        <v>5023239</v>
      </c>
      <c r="E4" s="11">
        <v>3994757</v>
      </c>
      <c r="F4" s="11">
        <v>5537261</v>
      </c>
      <c r="G4" s="11">
        <v>4561205</v>
      </c>
      <c r="H4" s="11">
        <v>5850718</v>
      </c>
      <c r="I4" s="11">
        <v>4876863</v>
      </c>
      <c r="J4" s="11">
        <v>5329740</v>
      </c>
      <c r="K4" s="11">
        <v>6736645</v>
      </c>
      <c r="L4" s="11">
        <v>4958537</v>
      </c>
      <c r="M4" s="12">
        <f>4040220-7</f>
        <v>4040213</v>
      </c>
      <c r="N4" s="95"/>
      <c r="O4" s="20"/>
    </row>
    <row r="5" spans="1:15" x14ac:dyDescent="0.35">
      <c r="A5" s="5" t="s">
        <v>3</v>
      </c>
      <c r="B5" s="10" t="s">
        <v>97</v>
      </c>
      <c r="C5" s="11" t="s">
        <v>97</v>
      </c>
      <c r="D5" s="11" t="s">
        <v>97</v>
      </c>
      <c r="E5" s="11" t="s">
        <v>97</v>
      </c>
      <c r="F5" s="11" t="s">
        <v>97</v>
      </c>
      <c r="G5" s="11" t="s">
        <v>97</v>
      </c>
      <c r="H5" s="11" t="s">
        <v>97</v>
      </c>
      <c r="I5" s="11" t="s">
        <v>97</v>
      </c>
      <c r="J5" s="11" t="s">
        <v>97</v>
      </c>
      <c r="K5" s="11" t="s">
        <v>97</v>
      </c>
      <c r="L5" s="11" t="s">
        <v>97</v>
      </c>
      <c r="M5" s="12" t="s">
        <v>97</v>
      </c>
    </row>
    <row r="6" spans="1:15" x14ac:dyDescent="0.35">
      <c r="A6" s="4" t="s">
        <v>4</v>
      </c>
      <c r="B6" s="10">
        <v>138556</v>
      </c>
      <c r="C6" s="11">
        <v>153008</v>
      </c>
      <c r="D6" s="11">
        <v>183174</v>
      </c>
      <c r="E6" s="11">
        <v>248830</v>
      </c>
      <c r="F6" s="11">
        <v>261239</v>
      </c>
      <c r="G6" s="11">
        <v>265476</v>
      </c>
      <c r="H6" s="11">
        <v>280909</v>
      </c>
      <c r="I6" s="11">
        <v>268552</v>
      </c>
      <c r="J6" s="11">
        <v>234831</v>
      </c>
      <c r="K6" s="11">
        <v>186155</v>
      </c>
      <c r="L6" s="11">
        <v>202013</v>
      </c>
      <c r="M6" s="12">
        <v>193729.98</v>
      </c>
    </row>
    <row r="7" spans="1:15" x14ac:dyDescent="0.35">
      <c r="A7" s="4" t="s">
        <v>5</v>
      </c>
      <c r="B7" s="10">
        <v>10821305</v>
      </c>
      <c r="C7" s="11">
        <v>10821305</v>
      </c>
      <c r="D7" s="11">
        <v>10891901</v>
      </c>
      <c r="E7" s="11">
        <v>10891901</v>
      </c>
      <c r="F7" s="11">
        <v>10891901</v>
      </c>
      <c r="G7" s="11">
        <v>10963298</v>
      </c>
      <c r="H7" s="11">
        <v>10963298</v>
      </c>
      <c r="I7" s="11">
        <v>10963298</v>
      </c>
      <c r="J7" s="11">
        <v>11031315</v>
      </c>
      <c r="K7" s="11">
        <v>11131315</v>
      </c>
      <c r="L7" s="11">
        <v>11131315</v>
      </c>
      <c r="M7" s="12">
        <v>11199816</v>
      </c>
    </row>
    <row r="8" spans="1:15" x14ac:dyDescent="0.35">
      <c r="A8" s="4" t="s">
        <v>6</v>
      </c>
      <c r="B8" s="10">
        <v>0</v>
      </c>
      <c r="C8" s="11">
        <v>0</v>
      </c>
      <c r="D8" s="11">
        <v>0</v>
      </c>
      <c r="E8" s="11">
        <v>0</v>
      </c>
      <c r="F8" s="11">
        <v>0</v>
      </c>
      <c r="G8" s="11">
        <v>0</v>
      </c>
      <c r="H8" s="11">
        <v>0</v>
      </c>
      <c r="I8" s="11">
        <v>0</v>
      </c>
      <c r="J8" s="11">
        <v>0</v>
      </c>
      <c r="K8" s="11">
        <v>0</v>
      </c>
      <c r="L8" s="11">
        <v>0</v>
      </c>
      <c r="M8" s="12">
        <v>0</v>
      </c>
    </row>
    <row r="9" spans="1:15" x14ac:dyDescent="0.35">
      <c r="A9" s="4" t="s">
        <v>7</v>
      </c>
      <c r="B9" s="10">
        <v>75110</v>
      </c>
      <c r="C9" s="11">
        <v>75705</v>
      </c>
      <c r="D9" s="11">
        <v>78680</v>
      </c>
      <c r="E9" s="11">
        <v>78680</v>
      </c>
      <c r="F9" s="11">
        <v>80258</v>
      </c>
      <c r="G9" s="11">
        <v>80049</v>
      </c>
      <c r="H9" s="11">
        <v>79984</v>
      </c>
      <c r="I9" s="11">
        <v>79984</v>
      </c>
      <c r="J9" s="11">
        <v>77354</v>
      </c>
      <c r="K9" s="11">
        <v>77479</v>
      </c>
      <c r="L9" s="11">
        <v>77311</v>
      </c>
      <c r="M9" s="12">
        <v>76624</v>
      </c>
    </row>
    <row r="10" spans="1:15" x14ac:dyDescent="0.35">
      <c r="A10" s="4" t="s">
        <v>8</v>
      </c>
      <c r="B10" s="10">
        <v>0</v>
      </c>
      <c r="C10" s="11">
        <v>0</v>
      </c>
      <c r="D10" s="11">
        <v>0</v>
      </c>
      <c r="E10" s="11">
        <v>0</v>
      </c>
      <c r="F10" s="11">
        <v>0</v>
      </c>
      <c r="G10" s="11">
        <v>0</v>
      </c>
      <c r="H10" s="11">
        <v>0</v>
      </c>
      <c r="I10" s="11">
        <v>0</v>
      </c>
      <c r="J10" s="11">
        <v>0</v>
      </c>
      <c r="K10" s="11">
        <v>0</v>
      </c>
      <c r="L10" s="11">
        <v>0</v>
      </c>
      <c r="M10" s="12">
        <v>0</v>
      </c>
    </row>
    <row r="11" spans="1:15" x14ac:dyDescent="0.35">
      <c r="A11" s="4" t="s">
        <v>9</v>
      </c>
      <c r="B11" s="10">
        <v>57913</v>
      </c>
      <c r="C11" s="11">
        <v>57913</v>
      </c>
      <c r="D11" s="11">
        <v>57913</v>
      </c>
      <c r="E11" s="11">
        <v>57913</v>
      </c>
      <c r="F11" s="11">
        <v>57913</v>
      </c>
      <c r="G11" s="11">
        <v>57913</v>
      </c>
      <c r="H11" s="11">
        <v>57913</v>
      </c>
      <c r="I11" s="11">
        <v>57913</v>
      </c>
      <c r="J11" s="11">
        <v>57913</v>
      </c>
      <c r="K11" s="11">
        <v>57913</v>
      </c>
      <c r="L11" s="11">
        <v>57913</v>
      </c>
      <c r="M11" s="12">
        <v>202701</v>
      </c>
    </row>
    <row r="12" spans="1:15" ht="15" thickBot="1" x14ac:dyDescent="0.4">
      <c r="A12" s="4" t="s">
        <v>10</v>
      </c>
      <c r="B12" s="13">
        <v>23980682</v>
      </c>
      <c r="C12" s="14">
        <v>24008639</v>
      </c>
      <c r="D12" s="14">
        <v>24014480</v>
      </c>
      <c r="E12" s="14">
        <v>24087303</v>
      </c>
      <c r="F12" s="14">
        <v>24115702</v>
      </c>
      <c r="G12" s="14">
        <v>24025398</v>
      </c>
      <c r="H12" s="14">
        <v>24105640</v>
      </c>
      <c r="I12" s="14">
        <v>24041111</v>
      </c>
      <c r="J12" s="14">
        <v>24239617</v>
      </c>
      <c r="K12" s="14">
        <v>24146249</v>
      </c>
      <c r="L12" s="14">
        <v>24055563</v>
      </c>
      <c r="M12" s="26">
        <v>23849258</v>
      </c>
    </row>
    <row r="13" spans="1:15" x14ac:dyDescent="0.35">
      <c r="A13" s="5" t="s">
        <v>11</v>
      </c>
      <c r="B13" s="6">
        <f t="shared" ref="B13:M13" si="0">SUM(B3:B12)</f>
        <v>48733692</v>
      </c>
      <c r="C13" s="6">
        <f t="shared" si="0"/>
        <v>48755049</v>
      </c>
      <c r="D13" s="6">
        <f t="shared" si="0"/>
        <v>48944533</v>
      </c>
      <c r="E13" s="6">
        <f t="shared" si="0"/>
        <v>48917409</v>
      </c>
      <c r="F13" s="6">
        <f t="shared" si="0"/>
        <v>48489554</v>
      </c>
      <c r="G13" s="6">
        <f t="shared" si="0"/>
        <v>48577882</v>
      </c>
      <c r="H13" s="6">
        <f t="shared" si="0"/>
        <v>48810493</v>
      </c>
      <c r="I13" s="6">
        <f t="shared" si="0"/>
        <v>49104186</v>
      </c>
      <c r="J13" s="6">
        <f t="shared" si="0"/>
        <v>49288797</v>
      </c>
      <c r="K13" s="6">
        <f t="shared" si="0"/>
        <v>50155126</v>
      </c>
      <c r="L13" s="6">
        <f t="shared" si="0"/>
        <v>49920932</v>
      </c>
      <c r="M13" s="6">
        <f t="shared" si="0"/>
        <v>49778551</v>
      </c>
    </row>
    <row r="15" spans="1:15" ht="26" x14ac:dyDescent="0.35">
      <c r="A15" s="5" t="s">
        <v>12</v>
      </c>
      <c r="B15" s="15">
        <v>6618972</v>
      </c>
      <c r="C15" s="15">
        <v>6618972</v>
      </c>
      <c r="D15" s="15">
        <v>6618972</v>
      </c>
      <c r="E15" s="15">
        <v>6618972</v>
      </c>
      <c r="F15" s="15">
        <f t="shared" ref="F15:L15" si="1">6618972+1750000</f>
        <v>8368972</v>
      </c>
      <c r="G15" s="15">
        <f t="shared" si="1"/>
        <v>8368972</v>
      </c>
      <c r="H15" s="15">
        <f t="shared" si="1"/>
        <v>8368972</v>
      </c>
      <c r="I15" s="15">
        <f t="shared" si="1"/>
        <v>8368972</v>
      </c>
      <c r="J15" s="15">
        <f t="shared" si="1"/>
        <v>8368972</v>
      </c>
      <c r="K15" s="15">
        <f t="shared" si="1"/>
        <v>8368972</v>
      </c>
      <c r="L15" s="15">
        <f t="shared" si="1"/>
        <v>8368972</v>
      </c>
      <c r="M15" s="15">
        <v>9139853</v>
      </c>
    </row>
    <row r="17" spans="1:13" ht="15" thickBot="1" x14ac:dyDescent="0.4">
      <c r="B17" s="1">
        <f t="shared" ref="B17:M17" si="2">B1</f>
        <v>45504</v>
      </c>
      <c r="C17" s="1">
        <f t="shared" si="2"/>
        <v>45535</v>
      </c>
      <c r="D17" s="1">
        <f t="shared" si="2"/>
        <v>45565</v>
      </c>
      <c r="E17" s="1">
        <f t="shared" si="2"/>
        <v>45596</v>
      </c>
      <c r="F17" s="1">
        <f t="shared" si="2"/>
        <v>45626</v>
      </c>
      <c r="G17" s="1">
        <f t="shared" si="2"/>
        <v>45657</v>
      </c>
      <c r="H17" s="1">
        <f t="shared" si="2"/>
        <v>45688</v>
      </c>
      <c r="I17" s="1">
        <f t="shared" si="2"/>
        <v>45716</v>
      </c>
      <c r="J17" s="1">
        <f t="shared" si="2"/>
        <v>45747</v>
      </c>
      <c r="K17" s="1">
        <f t="shared" si="2"/>
        <v>45777</v>
      </c>
      <c r="L17" s="1">
        <f t="shared" si="2"/>
        <v>45808</v>
      </c>
      <c r="M17" s="1">
        <f t="shared" si="2"/>
        <v>45838</v>
      </c>
    </row>
    <row r="18" spans="1:13" ht="15" thickBot="1" x14ac:dyDescent="0.4">
      <c r="A18" s="16" t="s">
        <v>11</v>
      </c>
      <c r="B18" s="17">
        <f t="shared" ref="B18:M18" si="3">B13+B15</f>
        <v>55352664</v>
      </c>
      <c r="C18" s="17">
        <f t="shared" si="3"/>
        <v>55374021</v>
      </c>
      <c r="D18" s="17">
        <f t="shared" si="3"/>
        <v>55563505</v>
      </c>
      <c r="E18" s="17">
        <f t="shared" si="3"/>
        <v>55536381</v>
      </c>
      <c r="F18" s="17">
        <f t="shared" si="3"/>
        <v>56858526</v>
      </c>
      <c r="G18" s="17">
        <f t="shared" si="3"/>
        <v>56946854</v>
      </c>
      <c r="H18" s="17">
        <f t="shared" si="3"/>
        <v>57179465</v>
      </c>
      <c r="I18" s="17">
        <f t="shared" si="3"/>
        <v>57473158</v>
      </c>
      <c r="J18" s="17">
        <f t="shared" si="3"/>
        <v>57657769</v>
      </c>
      <c r="K18" s="17">
        <f t="shared" si="3"/>
        <v>58524098</v>
      </c>
      <c r="L18" s="17">
        <f t="shared" si="3"/>
        <v>58289904</v>
      </c>
      <c r="M18" s="18">
        <f t="shared" si="3"/>
        <v>58918404</v>
      </c>
    </row>
    <row r="20" spans="1:13" x14ac:dyDescent="0.35">
      <c r="B20" s="1">
        <v>45504</v>
      </c>
      <c r="C20" s="1">
        <v>45535</v>
      </c>
      <c r="D20" s="1">
        <v>45565</v>
      </c>
      <c r="E20" s="1">
        <v>45596</v>
      </c>
      <c r="F20" s="1">
        <v>45626</v>
      </c>
      <c r="G20" s="1">
        <v>45657</v>
      </c>
      <c r="H20" s="1">
        <v>45688</v>
      </c>
      <c r="I20" s="1">
        <v>45716</v>
      </c>
      <c r="J20" s="1">
        <v>45747</v>
      </c>
      <c r="K20" s="1">
        <v>45777</v>
      </c>
      <c r="L20" s="1">
        <v>45808</v>
      </c>
      <c r="M20" s="1">
        <v>45838</v>
      </c>
    </row>
    <row r="21" spans="1:13" ht="15" thickBot="1" x14ac:dyDescent="0.4">
      <c r="A21" s="19" t="s">
        <v>14</v>
      </c>
    </row>
    <row r="22" spans="1:13" x14ac:dyDescent="0.35">
      <c r="A22" s="21" t="s">
        <v>15</v>
      </c>
      <c r="B22" s="22"/>
      <c r="C22" s="22"/>
      <c r="D22" s="22"/>
      <c r="E22" s="22"/>
      <c r="F22" s="22"/>
      <c r="G22" s="22"/>
      <c r="H22" s="22"/>
      <c r="I22" s="22"/>
      <c r="J22" s="22"/>
      <c r="K22" s="22"/>
      <c r="L22" s="22"/>
      <c r="M22" s="23"/>
    </row>
    <row r="23" spans="1:13" ht="25" x14ac:dyDescent="0.35">
      <c r="A23" s="24" t="s">
        <v>16</v>
      </c>
      <c r="B23" s="11">
        <v>932544</v>
      </c>
      <c r="C23" s="11">
        <v>1143808</v>
      </c>
      <c r="D23" s="11">
        <v>1327304</v>
      </c>
      <c r="E23" s="11">
        <v>1049893</v>
      </c>
      <c r="F23" s="11">
        <v>1114321</v>
      </c>
      <c r="G23" s="11">
        <v>1163599</v>
      </c>
      <c r="H23" s="11">
        <v>1111743</v>
      </c>
      <c r="I23" s="11">
        <v>1057184</v>
      </c>
      <c r="J23" s="11">
        <v>1261230</v>
      </c>
      <c r="K23" s="11">
        <v>1218229</v>
      </c>
      <c r="L23" s="11">
        <v>994284</v>
      </c>
      <c r="M23" s="12">
        <v>1017645</v>
      </c>
    </row>
    <row r="24" spans="1:13" x14ac:dyDescent="0.35">
      <c r="A24" s="24" t="s">
        <v>17</v>
      </c>
      <c r="B24" s="11">
        <v>0</v>
      </c>
      <c r="C24" s="11">
        <v>0</v>
      </c>
      <c r="D24" s="11">
        <v>0</v>
      </c>
      <c r="E24" s="11">
        <v>0</v>
      </c>
      <c r="F24" s="11">
        <v>0</v>
      </c>
      <c r="G24" s="11">
        <v>0</v>
      </c>
      <c r="H24" s="11">
        <v>0</v>
      </c>
      <c r="I24" s="11">
        <v>0</v>
      </c>
      <c r="J24" s="11">
        <v>0</v>
      </c>
      <c r="K24" s="11">
        <v>0</v>
      </c>
      <c r="L24" s="11">
        <v>0</v>
      </c>
      <c r="M24" s="12">
        <v>0</v>
      </c>
    </row>
    <row r="25" spans="1:13" x14ac:dyDescent="0.35">
      <c r="A25" s="24" t="s">
        <v>18</v>
      </c>
      <c r="B25" s="11">
        <v>849060</v>
      </c>
      <c r="C25" s="11">
        <v>806523</v>
      </c>
      <c r="D25" s="11">
        <v>672139</v>
      </c>
      <c r="E25" s="11">
        <v>668139</v>
      </c>
      <c r="F25" s="11">
        <v>163223</v>
      </c>
      <c r="G25" s="11">
        <v>249863</v>
      </c>
      <c r="H25" s="11">
        <v>398470</v>
      </c>
      <c r="I25" s="11">
        <v>409328</v>
      </c>
      <c r="J25" s="11">
        <v>419902</v>
      </c>
      <c r="K25" s="11">
        <v>414908</v>
      </c>
      <c r="L25" s="11">
        <v>399362</v>
      </c>
      <c r="M25" s="12">
        <v>363373</v>
      </c>
    </row>
    <row r="26" spans="1:13" x14ac:dyDescent="0.35">
      <c r="A26" s="24" t="s">
        <v>19</v>
      </c>
      <c r="B26" s="11"/>
      <c r="C26" s="11"/>
      <c r="D26" s="11"/>
      <c r="E26" s="11"/>
      <c r="F26" s="11"/>
      <c r="G26" s="11"/>
      <c r="H26" s="11"/>
      <c r="I26" s="11"/>
      <c r="J26" s="11"/>
      <c r="K26" s="11"/>
      <c r="L26" s="11"/>
      <c r="M26" s="12"/>
    </row>
    <row r="27" spans="1:13" x14ac:dyDescent="0.35">
      <c r="A27" s="24" t="s">
        <v>20</v>
      </c>
      <c r="B27" s="11">
        <v>22000</v>
      </c>
      <c r="C27" s="11">
        <v>23000</v>
      </c>
      <c r="D27" s="11">
        <v>19000</v>
      </c>
      <c r="E27" s="11">
        <v>127761</v>
      </c>
      <c r="F27" s="11">
        <v>131761</v>
      </c>
      <c r="G27" s="11">
        <v>99761</v>
      </c>
      <c r="H27" s="11">
        <v>101761</v>
      </c>
      <c r="I27" s="11">
        <v>125524</v>
      </c>
      <c r="J27" s="11">
        <v>113857</v>
      </c>
      <c r="K27" s="11">
        <v>597570</v>
      </c>
      <c r="L27" s="11">
        <v>473044</v>
      </c>
      <c r="M27" s="12">
        <v>452807</v>
      </c>
    </row>
    <row r="28" spans="1:13" x14ac:dyDescent="0.35">
      <c r="A28" s="24" t="s">
        <v>21</v>
      </c>
      <c r="B28" s="11">
        <v>0</v>
      </c>
      <c r="C28" s="11">
        <v>0</v>
      </c>
      <c r="D28" s="11">
        <v>0</v>
      </c>
      <c r="E28" s="11">
        <v>0</v>
      </c>
      <c r="F28" s="11">
        <v>0</v>
      </c>
      <c r="G28" s="11">
        <v>0</v>
      </c>
      <c r="H28" s="11">
        <v>0</v>
      </c>
      <c r="I28" s="11">
        <v>0</v>
      </c>
      <c r="J28" s="11">
        <v>0</v>
      </c>
      <c r="K28" s="11">
        <v>0</v>
      </c>
      <c r="L28" s="11">
        <v>0</v>
      </c>
      <c r="M28" s="12">
        <v>0</v>
      </c>
    </row>
    <row r="29" spans="1:13" x14ac:dyDescent="0.35">
      <c r="A29" s="24" t="s">
        <v>22</v>
      </c>
      <c r="B29" s="11">
        <v>0</v>
      </c>
      <c r="C29" s="11">
        <v>0</v>
      </c>
      <c r="D29" s="11">
        <v>0</v>
      </c>
      <c r="E29" s="11">
        <v>0</v>
      </c>
      <c r="F29" s="11">
        <v>0</v>
      </c>
      <c r="G29" s="11">
        <v>0</v>
      </c>
      <c r="H29" s="11">
        <v>0</v>
      </c>
      <c r="I29" s="11">
        <v>0</v>
      </c>
      <c r="J29" s="11">
        <v>0</v>
      </c>
      <c r="K29" s="11">
        <v>0</v>
      </c>
      <c r="L29" s="11">
        <v>0</v>
      </c>
      <c r="M29" s="12">
        <v>0</v>
      </c>
    </row>
    <row r="30" spans="1:13" ht="15" thickBot="1" x14ac:dyDescent="0.4">
      <c r="A30" s="25" t="s">
        <v>23</v>
      </c>
      <c r="B30" s="14">
        <v>58111</v>
      </c>
      <c r="C30" s="14">
        <v>58111</v>
      </c>
      <c r="D30" s="14">
        <v>58111</v>
      </c>
      <c r="E30" s="14">
        <v>58111</v>
      </c>
      <c r="F30" s="14">
        <v>58111</v>
      </c>
      <c r="G30" s="14">
        <v>58111</v>
      </c>
      <c r="H30" s="14">
        <v>58111</v>
      </c>
      <c r="I30" s="14">
        <v>58111</v>
      </c>
      <c r="J30" s="14">
        <v>58111</v>
      </c>
      <c r="K30" s="14">
        <v>58111</v>
      </c>
      <c r="L30" s="14">
        <v>58111</v>
      </c>
      <c r="M30" s="26">
        <f>203400-5</f>
        <v>203395</v>
      </c>
    </row>
    <row r="31" spans="1:13" x14ac:dyDescent="0.35">
      <c r="A31" s="5" t="s">
        <v>24</v>
      </c>
      <c r="B31" s="94">
        <f t="shared" ref="B31:M31" si="4">SUM(B23:B30)</f>
        <v>1861715</v>
      </c>
      <c r="C31" s="94">
        <f t="shared" si="4"/>
        <v>2031442</v>
      </c>
      <c r="D31" s="94">
        <f t="shared" si="4"/>
        <v>2076554</v>
      </c>
      <c r="E31" s="94">
        <f t="shared" si="4"/>
        <v>1903904</v>
      </c>
      <c r="F31" s="94">
        <f t="shared" si="4"/>
        <v>1467416</v>
      </c>
      <c r="G31" s="94">
        <f t="shared" si="4"/>
        <v>1571334</v>
      </c>
      <c r="H31" s="94">
        <f t="shared" si="4"/>
        <v>1670085</v>
      </c>
      <c r="I31" s="94">
        <f t="shared" si="4"/>
        <v>1650147</v>
      </c>
      <c r="J31" s="94">
        <f t="shared" si="4"/>
        <v>1853100</v>
      </c>
      <c r="K31" s="94">
        <f t="shared" si="4"/>
        <v>2288818</v>
      </c>
      <c r="L31" s="94">
        <f t="shared" si="4"/>
        <v>1924801</v>
      </c>
      <c r="M31" s="94">
        <f t="shared" si="4"/>
        <v>2037220</v>
      </c>
    </row>
    <row r="33" spans="1:13" x14ac:dyDescent="0.35">
      <c r="B33" s="1">
        <f>B20</f>
        <v>45504</v>
      </c>
      <c r="C33" s="1">
        <f t="shared" ref="C33:M33" si="5">C20</f>
        <v>45535</v>
      </c>
      <c r="D33" s="1">
        <f t="shared" si="5"/>
        <v>45565</v>
      </c>
      <c r="E33" s="1">
        <f t="shared" si="5"/>
        <v>45596</v>
      </c>
      <c r="F33" s="1">
        <f t="shared" si="5"/>
        <v>45626</v>
      </c>
      <c r="G33" s="1">
        <f t="shared" si="5"/>
        <v>45657</v>
      </c>
      <c r="H33" s="1">
        <f t="shared" si="5"/>
        <v>45688</v>
      </c>
      <c r="I33" s="1">
        <f t="shared" si="5"/>
        <v>45716</v>
      </c>
      <c r="J33" s="1">
        <f t="shared" si="5"/>
        <v>45747</v>
      </c>
      <c r="K33" s="1">
        <f t="shared" si="5"/>
        <v>45777</v>
      </c>
      <c r="L33" s="1">
        <f t="shared" si="5"/>
        <v>45808</v>
      </c>
      <c r="M33" s="1">
        <f t="shared" si="5"/>
        <v>45838</v>
      </c>
    </row>
    <row r="35" spans="1:13" x14ac:dyDescent="0.35">
      <c r="A35" s="5" t="s">
        <v>24</v>
      </c>
      <c r="B35" s="20">
        <f t="shared" ref="B35:M35" si="6">B31</f>
        <v>1861715</v>
      </c>
      <c r="C35" s="20">
        <f t="shared" si="6"/>
        <v>2031442</v>
      </c>
      <c r="D35" s="20">
        <f t="shared" si="6"/>
        <v>2076554</v>
      </c>
      <c r="E35" s="20">
        <f t="shared" si="6"/>
        <v>1903904</v>
      </c>
      <c r="F35" s="20">
        <f t="shared" si="6"/>
        <v>1467416</v>
      </c>
      <c r="G35" s="20">
        <f t="shared" si="6"/>
        <v>1571334</v>
      </c>
      <c r="H35" s="20">
        <f t="shared" si="6"/>
        <v>1670085</v>
      </c>
      <c r="I35" s="20">
        <f t="shared" si="6"/>
        <v>1650147</v>
      </c>
      <c r="J35" s="20">
        <f t="shared" si="6"/>
        <v>1853100</v>
      </c>
      <c r="K35" s="20">
        <f t="shared" si="6"/>
        <v>2288818</v>
      </c>
      <c r="L35" s="20">
        <f t="shared" si="6"/>
        <v>1924801</v>
      </c>
      <c r="M35" s="20">
        <f t="shared" si="6"/>
        <v>2037220</v>
      </c>
    </row>
    <row r="37" spans="1:13" ht="15" thickBot="1" x14ac:dyDescent="0.4">
      <c r="A37" t="s">
        <v>76</v>
      </c>
      <c r="B37" s="1">
        <f>B17</f>
        <v>45504</v>
      </c>
      <c r="C37" s="1">
        <f t="shared" ref="C37:M37" si="7">C17</f>
        <v>45535</v>
      </c>
      <c r="D37" s="1">
        <f t="shared" si="7"/>
        <v>45565</v>
      </c>
      <c r="E37" s="1">
        <f t="shared" si="7"/>
        <v>45596</v>
      </c>
      <c r="F37" s="1">
        <f t="shared" si="7"/>
        <v>45626</v>
      </c>
      <c r="G37" s="1">
        <f t="shared" si="7"/>
        <v>45657</v>
      </c>
      <c r="H37" s="1">
        <f t="shared" si="7"/>
        <v>45688</v>
      </c>
      <c r="I37" s="1">
        <f t="shared" si="7"/>
        <v>45716</v>
      </c>
      <c r="J37" s="1">
        <f t="shared" si="7"/>
        <v>45747</v>
      </c>
      <c r="K37" s="1">
        <f t="shared" si="7"/>
        <v>45777</v>
      </c>
      <c r="L37" s="1">
        <f t="shared" si="7"/>
        <v>45808</v>
      </c>
      <c r="M37" s="1">
        <f t="shared" si="7"/>
        <v>45838</v>
      </c>
    </row>
    <row r="38" spans="1:13" ht="15" thickBot="1" x14ac:dyDescent="0.4">
      <c r="A38" s="16" t="s">
        <v>11</v>
      </c>
      <c r="B38" s="141">
        <f>B18</f>
        <v>55352664</v>
      </c>
      <c r="C38" s="141">
        <f t="shared" ref="C38:M38" si="8">C18</f>
        <v>55374021</v>
      </c>
      <c r="D38" s="141">
        <f t="shared" si="8"/>
        <v>55563505</v>
      </c>
      <c r="E38" s="141">
        <f t="shared" si="8"/>
        <v>55536381</v>
      </c>
      <c r="F38" s="141">
        <f t="shared" si="8"/>
        <v>56858526</v>
      </c>
      <c r="G38" s="141">
        <f t="shared" si="8"/>
        <v>56946854</v>
      </c>
      <c r="H38" s="141">
        <f t="shared" si="8"/>
        <v>57179465</v>
      </c>
      <c r="I38" s="141">
        <f t="shared" si="8"/>
        <v>57473158</v>
      </c>
      <c r="J38" s="141">
        <f t="shared" si="8"/>
        <v>57657769</v>
      </c>
      <c r="K38" s="141">
        <f t="shared" si="8"/>
        <v>58524098</v>
      </c>
      <c r="L38" s="141">
        <f t="shared" si="8"/>
        <v>58289904</v>
      </c>
      <c r="M38" s="141">
        <f t="shared" si="8"/>
        <v>58918404</v>
      </c>
    </row>
    <row r="39" spans="1:13" x14ac:dyDescent="0.35">
      <c r="A39" s="5" t="s">
        <v>24</v>
      </c>
      <c r="B39" s="32">
        <f>B35</f>
        <v>1861715</v>
      </c>
      <c r="C39" s="32">
        <f t="shared" ref="C39:M39" si="9">C35</f>
        <v>2031442</v>
      </c>
      <c r="D39" s="32">
        <f t="shared" si="9"/>
        <v>2076554</v>
      </c>
      <c r="E39" s="32">
        <f t="shared" si="9"/>
        <v>1903904</v>
      </c>
      <c r="F39" s="32">
        <f t="shared" si="9"/>
        <v>1467416</v>
      </c>
      <c r="G39" s="32">
        <f t="shared" si="9"/>
        <v>1571334</v>
      </c>
      <c r="H39" s="32">
        <f t="shared" si="9"/>
        <v>1670085</v>
      </c>
      <c r="I39" s="32">
        <f t="shared" si="9"/>
        <v>1650147</v>
      </c>
      <c r="J39" s="32">
        <f t="shared" si="9"/>
        <v>1853100</v>
      </c>
      <c r="K39" s="32">
        <f t="shared" si="9"/>
        <v>2288818</v>
      </c>
      <c r="L39" s="32">
        <f t="shared" si="9"/>
        <v>1924801</v>
      </c>
      <c r="M39" s="32">
        <f t="shared" si="9"/>
        <v>2037220</v>
      </c>
    </row>
  </sheetData>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9545C-5305-45A5-B393-502ED4D794FD}">
  <sheetPr>
    <tabColor rgb="FF00B050"/>
  </sheetPr>
  <dimension ref="A1:D17"/>
  <sheetViews>
    <sheetView workbookViewId="0">
      <selection activeCell="F8" sqref="F8"/>
    </sheetView>
  </sheetViews>
  <sheetFormatPr defaultColWidth="9.1796875" defaultRowHeight="14.5" x14ac:dyDescent="0.35"/>
  <cols>
    <col min="1" max="1" width="19.54296875" bestFit="1" customWidth="1"/>
    <col min="2" max="3" width="14.26953125" bestFit="1" customWidth="1"/>
    <col min="4" max="4" width="15" bestFit="1" customWidth="1"/>
  </cols>
  <sheetData>
    <row r="1" spans="1:4" x14ac:dyDescent="0.35">
      <c r="B1" s="142">
        <v>45107</v>
      </c>
      <c r="C1" s="143">
        <v>45473</v>
      </c>
      <c r="D1" s="143">
        <v>45838</v>
      </c>
    </row>
    <row r="2" spans="1:4" x14ac:dyDescent="0.35">
      <c r="A2" t="s">
        <v>136</v>
      </c>
      <c r="B2" s="29">
        <v>4780817</v>
      </c>
      <c r="C2" s="29">
        <v>4560829</v>
      </c>
      <c r="D2" s="29">
        <v>5056346</v>
      </c>
    </row>
    <row r="3" spans="1:4" x14ac:dyDescent="0.35">
      <c r="A3" t="s">
        <v>69</v>
      </c>
      <c r="B3" s="29"/>
      <c r="C3" s="29"/>
      <c r="D3" s="29"/>
    </row>
    <row r="4" spans="1:4" x14ac:dyDescent="0.35">
      <c r="A4" t="s">
        <v>70</v>
      </c>
      <c r="B4" s="29">
        <f>SUM(B2:B3)</f>
        <v>4780817</v>
      </c>
      <c r="C4" s="29">
        <f>SUM(C2:C3)</f>
        <v>4560829</v>
      </c>
      <c r="D4" s="29">
        <f>SUM(D2:D3)</f>
        <v>5056346</v>
      </c>
    </row>
    <row r="6" spans="1:4" x14ac:dyDescent="0.35">
      <c r="A6" t="s">
        <v>137</v>
      </c>
      <c r="B6" s="29">
        <v>31983103</v>
      </c>
      <c r="C6" s="29">
        <v>38963840</v>
      </c>
      <c r="D6" s="29">
        <v>42712900</v>
      </c>
    </row>
    <row r="7" spans="1:4" x14ac:dyDescent="0.35">
      <c r="A7" t="s">
        <v>69</v>
      </c>
      <c r="B7" s="29"/>
      <c r="C7" s="29"/>
      <c r="D7" s="29"/>
    </row>
    <row r="8" spans="1:4" x14ac:dyDescent="0.35">
      <c r="A8" t="s">
        <v>138</v>
      </c>
      <c r="B8" s="31">
        <f>SUM(B6:B7)</f>
        <v>31983103</v>
      </c>
      <c r="C8" s="31">
        <f>SUM(C6:C7)</f>
        <v>38963840</v>
      </c>
      <c r="D8" s="31">
        <f>SUM(D6:D7)</f>
        <v>42712900</v>
      </c>
    </row>
    <row r="10" spans="1:4" x14ac:dyDescent="0.35">
      <c r="A10" s="28"/>
      <c r="B10" s="142">
        <v>45107</v>
      </c>
      <c r="C10" s="143">
        <v>45473</v>
      </c>
      <c r="D10" s="143">
        <v>45838</v>
      </c>
    </row>
    <row r="11" spans="1:4" x14ac:dyDescent="0.35">
      <c r="A11" t="s">
        <v>136</v>
      </c>
      <c r="B11" s="144">
        <f>B4</f>
        <v>4780817</v>
      </c>
      <c r="C11" s="144">
        <f t="shared" ref="C11:D11" si="0">C4</f>
        <v>4560829</v>
      </c>
      <c r="D11" s="144">
        <f t="shared" si="0"/>
        <v>5056346</v>
      </c>
    </row>
    <row r="12" spans="1:4" x14ac:dyDescent="0.35">
      <c r="A12" t="s">
        <v>137</v>
      </c>
      <c r="B12" s="31">
        <f>B8</f>
        <v>31983103</v>
      </c>
      <c r="C12" s="31">
        <f>C8</f>
        <v>38963840</v>
      </c>
      <c r="D12" s="31">
        <f>D8</f>
        <v>42712900</v>
      </c>
    </row>
    <row r="13" spans="1:4" x14ac:dyDescent="0.35">
      <c r="A13" t="s">
        <v>139</v>
      </c>
      <c r="B13" s="144">
        <f>SUM(B11:B12)</f>
        <v>36763920</v>
      </c>
      <c r="C13" s="144">
        <f>SUM(C11:C12)</f>
        <v>43524669</v>
      </c>
      <c r="D13" s="144">
        <f>SUM(D11:D12)</f>
        <v>47769246</v>
      </c>
    </row>
    <row r="15" spans="1:4" x14ac:dyDescent="0.35">
      <c r="A15" t="s">
        <v>68</v>
      </c>
      <c r="B15" s="142">
        <v>45107</v>
      </c>
      <c r="C15" s="143">
        <v>45473</v>
      </c>
      <c r="D15" s="143">
        <v>45838</v>
      </c>
    </row>
    <row r="16" spans="1:4" x14ac:dyDescent="0.35">
      <c r="A16" t="s">
        <v>140</v>
      </c>
      <c r="B16" s="57">
        <f>B12/B13</f>
        <v>0.86995899784353792</v>
      </c>
      <c r="C16" s="57">
        <f t="shared" ref="C16:D16" si="1">C12/C13</f>
        <v>0.89521278151477723</v>
      </c>
      <c r="D16" s="57">
        <f t="shared" si="1"/>
        <v>0.89415060057678108</v>
      </c>
    </row>
    <row r="17" spans="1:4" x14ac:dyDescent="0.35">
      <c r="A17" t="s">
        <v>141</v>
      </c>
      <c r="B17" s="57">
        <f>B11/B13</f>
        <v>0.13004100215646211</v>
      </c>
      <c r="C17" s="57">
        <f>C11/C13</f>
        <v>0.10478721848522271</v>
      </c>
      <c r="D17" s="57">
        <f>D11/D13</f>
        <v>0.10584939942321886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0016-0BBB-446F-8986-3C3FBFA4DCAE}">
  <sheetPr>
    <tabColor rgb="FF00B050"/>
  </sheetPr>
  <dimension ref="A2:N32"/>
  <sheetViews>
    <sheetView workbookViewId="0">
      <selection activeCell="M30" sqref="M30"/>
    </sheetView>
  </sheetViews>
  <sheetFormatPr defaultColWidth="9.1796875" defaultRowHeight="14.5" x14ac:dyDescent="0.35"/>
  <cols>
    <col min="1" max="1" width="38.26953125" customWidth="1"/>
    <col min="2" max="2" width="27.54296875" customWidth="1"/>
    <col min="3" max="14" width="15.26953125" bestFit="1" customWidth="1"/>
  </cols>
  <sheetData>
    <row r="2" spans="1:14" x14ac:dyDescent="0.35">
      <c r="B2" s="28" t="s">
        <v>103</v>
      </c>
      <c r="C2" s="1">
        <v>45504</v>
      </c>
      <c r="D2" s="1">
        <v>45535</v>
      </c>
      <c r="E2" s="1">
        <v>45565</v>
      </c>
      <c r="F2" s="1">
        <v>45596</v>
      </c>
      <c r="G2" s="1">
        <v>45626</v>
      </c>
      <c r="H2" s="1">
        <v>45657</v>
      </c>
      <c r="I2" s="1">
        <v>45688</v>
      </c>
      <c r="J2" s="1">
        <v>45716</v>
      </c>
      <c r="K2" s="1">
        <v>45747</v>
      </c>
      <c r="L2" s="1">
        <v>45777</v>
      </c>
      <c r="M2" s="1">
        <v>45808</v>
      </c>
      <c r="N2" s="1">
        <v>45838</v>
      </c>
    </row>
    <row r="3" spans="1:14" ht="15" thickBot="1" x14ac:dyDescent="0.4">
      <c r="A3" s="3" t="s">
        <v>0</v>
      </c>
      <c r="B3" s="3"/>
    </row>
    <row r="4" spans="1:14" x14ac:dyDescent="0.35">
      <c r="A4" s="2" t="s">
        <v>1</v>
      </c>
      <c r="B4" s="2"/>
      <c r="C4" s="119">
        <v>7803909</v>
      </c>
      <c r="D4" s="120">
        <v>8957926</v>
      </c>
      <c r="E4" s="120">
        <v>8695146</v>
      </c>
      <c r="F4" s="120">
        <v>9558025</v>
      </c>
      <c r="G4" s="120">
        <v>7545280</v>
      </c>
      <c r="H4" s="120">
        <v>8624543</v>
      </c>
      <c r="I4" s="120">
        <v>7472031</v>
      </c>
      <c r="J4" s="120">
        <v>8816465</v>
      </c>
      <c r="K4" s="120">
        <v>8318027</v>
      </c>
      <c r="L4" s="120">
        <v>7819370</v>
      </c>
      <c r="M4" s="120">
        <v>9438280</v>
      </c>
      <c r="N4" s="121">
        <v>10216209</v>
      </c>
    </row>
    <row r="5" spans="1:14" x14ac:dyDescent="0.35">
      <c r="A5" s="4" t="s">
        <v>4</v>
      </c>
      <c r="B5" s="4"/>
      <c r="C5" s="122">
        <v>138556</v>
      </c>
      <c r="D5" s="11">
        <v>153008</v>
      </c>
      <c r="E5" s="11">
        <v>183174</v>
      </c>
      <c r="F5" s="11">
        <v>248830</v>
      </c>
      <c r="G5" s="11">
        <v>261239</v>
      </c>
      <c r="H5" s="11">
        <v>265476</v>
      </c>
      <c r="I5" s="11">
        <v>280909</v>
      </c>
      <c r="J5" s="11">
        <v>268552</v>
      </c>
      <c r="K5" s="11">
        <v>234831</v>
      </c>
      <c r="L5" s="11">
        <v>186155</v>
      </c>
      <c r="M5" s="11">
        <v>202013</v>
      </c>
      <c r="N5" s="123">
        <v>193730</v>
      </c>
    </row>
    <row r="6" spans="1:14" ht="15" thickBot="1" x14ac:dyDescent="0.4">
      <c r="A6" s="4" t="s">
        <v>5</v>
      </c>
      <c r="B6" s="4"/>
      <c r="C6" s="124">
        <v>10821305</v>
      </c>
      <c r="D6" s="125">
        <v>10821305</v>
      </c>
      <c r="E6" s="125">
        <v>10891901</v>
      </c>
      <c r="F6" s="125">
        <v>10891901</v>
      </c>
      <c r="G6" s="125">
        <v>10891901</v>
      </c>
      <c r="H6" s="125">
        <v>10963298</v>
      </c>
      <c r="I6" s="125">
        <v>10963298</v>
      </c>
      <c r="J6" s="125">
        <v>10963298</v>
      </c>
      <c r="K6" s="125">
        <v>11031315</v>
      </c>
      <c r="L6" s="125">
        <v>11131315</v>
      </c>
      <c r="M6" s="125">
        <v>11131315</v>
      </c>
      <c r="N6" s="126">
        <v>11199816</v>
      </c>
    </row>
    <row r="7" spans="1:14" x14ac:dyDescent="0.35">
      <c r="A7" s="4"/>
      <c r="B7" s="4"/>
      <c r="C7" s="11"/>
      <c r="D7" s="11"/>
      <c r="E7" s="11"/>
      <c r="F7" s="11"/>
      <c r="G7" s="11"/>
      <c r="H7" s="11"/>
      <c r="I7" s="11"/>
      <c r="J7" s="11"/>
      <c r="K7" s="11"/>
      <c r="L7" s="11"/>
      <c r="M7" s="11"/>
      <c r="N7" s="60"/>
    </row>
    <row r="8" spans="1:14" ht="15" thickBot="1" x14ac:dyDescent="0.4">
      <c r="A8" s="4"/>
      <c r="B8" s="4"/>
      <c r="C8" s="11"/>
      <c r="D8" s="11"/>
      <c r="E8" s="11"/>
      <c r="F8" s="11"/>
      <c r="G8" s="11"/>
      <c r="H8" s="11"/>
      <c r="I8" s="11"/>
      <c r="J8" s="11"/>
      <c r="K8" s="11"/>
      <c r="L8" s="11"/>
      <c r="M8" s="11"/>
      <c r="N8" s="60"/>
    </row>
    <row r="9" spans="1:14" x14ac:dyDescent="0.35">
      <c r="A9" s="104" t="s">
        <v>72</v>
      </c>
      <c r="B9" s="105">
        <v>4835396.3899999997</v>
      </c>
      <c r="C9" s="107">
        <f>B12</f>
        <v>4812894.6099999994</v>
      </c>
      <c r="D9" s="108">
        <f>C12</f>
        <v>4725224.3599999994</v>
      </c>
      <c r="E9" s="108">
        <f t="shared" ref="E9:N9" si="0">D12</f>
        <v>4634073.5299999993</v>
      </c>
      <c r="F9" s="108">
        <f t="shared" si="0"/>
        <v>4571158.3999999985</v>
      </c>
      <c r="G9" s="108">
        <f t="shared" si="0"/>
        <v>4533685.3099999987</v>
      </c>
      <c r="H9" s="108">
        <f t="shared" si="0"/>
        <v>4481703.5799999982</v>
      </c>
      <c r="I9" s="108">
        <f t="shared" si="0"/>
        <v>4454493.3699999982</v>
      </c>
      <c r="J9" s="108">
        <f t="shared" si="0"/>
        <v>4375574.299999998</v>
      </c>
      <c r="K9" s="108">
        <f t="shared" si="0"/>
        <v>4344049.9999999981</v>
      </c>
      <c r="L9" s="108">
        <f t="shared" si="0"/>
        <v>4308351.2599999988</v>
      </c>
      <c r="M9" s="108">
        <f t="shared" si="0"/>
        <v>4228560.0999999987</v>
      </c>
      <c r="N9" s="109">
        <f t="shared" si="0"/>
        <v>4177103.8899999987</v>
      </c>
    </row>
    <row r="10" spans="1:14" x14ac:dyDescent="0.35">
      <c r="A10" s="104" t="s">
        <v>73</v>
      </c>
      <c r="B10" s="105">
        <v>31945.43</v>
      </c>
      <c r="C10" s="110"/>
      <c r="D10" s="103"/>
      <c r="E10" s="103">
        <v>33136.85</v>
      </c>
      <c r="F10" s="103"/>
      <c r="G10" s="103"/>
      <c r="H10" s="103">
        <v>33609.83</v>
      </c>
      <c r="I10" s="103"/>
      <c r="J10" s="103"/>
      <c r="K10" s="103">
        <v>32556.28</v>
      </c>
      <c r="L10" s="103"/>
      <c r="M10" s="103"/>
      <c r="N10" s="111">
        <v>32485.42</v>
      </c>
    </row>
    <row r="11" spans="1:14" ht="15" thickBot="1" x14ac:dyDescent="0.4">
      <c r="A11" s="104" t="s">
        <v>74</v>
      </c>
      <c r="B11" s="106">
        <v>-54447.21</v>
      </c>
      <c r="C11" s="112">
        <v>-87670.25</v>
      </c>
      <c r="D11" s="113">
        <v>-91150.83</v>
      </c>
      <c r="E11" s="113">
        <v>-96051.98</v>
      </c>
      <c r="F11" s="113">
        <v>-37473.089999999997</v>
      </c>
      <c r="G11" s="113">
        <v>-51981.73</v>
      </c>
      <c r="H11" s="113">
        <v>-60820.04</v>
      </c>
      <c r="I11" s="114">
        <v>-78919.070000000007</v>
      </c>
      <c r="J11" s="114">
        <v>-31524.3</v>
      </c>
      <c r="K11" s="114">
        <v>-68255.02</v>
      </c>
      <c r="L11" s="114">
        <v>-79791.16</v>
      </c>
      <c r="M11" s="114">
        <v>-51456.21</v>
      </c>
      <c r="N11" s="115">
        <v>-72292.639999999999</v>
      </c>
    </row>
    <row r="12" spans="1:14" ht="15" thickBot="1" x14ac:dyDescent="0.4">
      <c r="A12" s="104"/>
      <c r="B12" s="106">
        <f t="shared" ref="B12:N12" si="1">SUM(B9:B11)</f>
        <v>4812894.6099999994</v>
      </c>
      <c r="C12" s="116">
        <f t="shared" si="1"/>
        <v>4725224.3599999994</v>
      </c>
      <c r="D12" s="117">
        <f t="shared" si="1"/>
        <v>4634073.5299999993</v>
      </c>
      <c r="E12" s="117">
        <f t="shared" si="1"/>
        <v>4571158.3999999985</v>
      </c>
      <c r="F12" s="117">
        <f t="shared" si="1"/>
        <v>4533685.3099999987</v>
      </c>
      <c r="G12" s="117">
        <f t="shared" si="1"/>
        <v>4481703.5799999982</v>
      </c>
      <c r="H12" s="117">
        <f t="shared" si="1"/>
        <v>4454493.3699999982</v>
      </c>
      <c r="I12" s="117">
        <f t="shared" si="1"/>
        <v>4375574.299999998</v>
      </c>
      <c r="J12" s="117">
        <f t="shared" si="1"/>
        <v>4344049.9999999981</v>
      </c>
      <c r="K12" s="117">
        <f t="shared" si="1"/>
        <v>4308351.2599999988</v>
      </c>
      <c r="L12" s="117">
        <f t="shared" si="1"/>
        <v>4228560.0999999987</v>
      </c>
      <c r="M12" s="117">
        <f t="shared" si="1"/>
        <v>4177103.8899999987</v>
      </c>
      <c r="N12" s="118">
        <f t="shared" si="1"/>
        <v>4137296.6699999985</v>
      </c>
    </row>
    <row r="13" spans="1:14" x14ac:dyDescent="0.35">
      <c r="A13" s="4"/>
      <c r="B13" s="4"/>
      <c r="C13" s="11"/>
      <c r="D13" s="11"/>
      <c r="E13" s="11"/>
      <c r="F13" s="11"/>
      <c r="G13" s="11"/>
      <c r="H13" s="11"/>
      <c r="I13" s="61"/>
      <c r="J13" s="61"/>
      <c r="K13" s="61"/>
      <c r="L13" s="61"/>
      <c r="M13" s="61"/>
      <c r="N13" s="61"/>
    </row>
    <row r="14" spans="1:14" x14ac:dyDescent="0.35">
      <c r="A14" s="4"/>
      <c r="B14" s="4"/>
      <c r="C14" s="11"/>
      <c r="D14" s="11"/>
      <c r="E14" s="11"/>
      <c r="F14" s="11"/>
      <c r="G14" s="11"/>
      <c r="H14" s="11"/>
      <c r="I14" s="11"/>
      <c r="J14" s="11"/>
      <c r="K14" s="11"/>
      <c r="L14" s="11"/>
      <c r="M14" s="11"/>
      <c r="N14" s="60"/>
    </row>
    <row r="15" spans="1:14" x14ac:dyDescent="0.35">
      <c r="A15" s="3" t="s">
        <v>76</v>
      </c>
      <c r="B15" s="3"/>
      <c r="C15" s="1">
        <f>C2</f>
        <v>45504</v>
      </c>
      <c r="D15" s="1">
        <f t="shared" ref="D15:N15" si="2">D2</f>
        <v>45535</v>
      </c>
      <c r="E15" s="1">
        <f t="shared" si="2"/>
        <v>45565</v>
      </c>
      <c r="F15" s="1">
        <f t="shared" si="2"/>
        <v>45596</v>
      </c>
      <c r="G15" s="1">
        <f t="shared" si="2"/>
        <v>45626</v>
      </c>
      <c r="H15" s="1">
        <f t="shared" si="2"/>
        <v>45657</v>
      </c>
      <c r="I15" s="1">
        <f t="shared" si="2"/>
        <v>45688</v>
      </c>
      <c r="J15" s="1">
        <f t="shared" si="2"/>
        <v>45716</v>
      </c>
      <c r="K15" s="1">
        <f t="shared" si="2"/>
        <v>45747</v>
      </c>
      <c r="L15" s="1">
        <f t="shared" si="2"/>
        <v>45777</v>
      </c>
      <c r="M15" s="1">
        <f t="shared" si="2"/>
        <v>45808</v>
      </c>
      <c r="N15" s="1">
        <f t="shared" si="2"/>
        <v>45838</v>
      </c>
    </row>
    <row r="16" spans="1:14" x14ac:dyDescent="0.35">
      <c r="A16" s="64" t="s">
        <v>1</v>
      </c>
      <c r="B16" s="64"/>
      <c r="C16" s="63">
        <f>C4</f>
        <v>7803909</v>
      </c>
      <c r="D16" s="63">
        <f t="shared" ref="D16:N16" si="3">D4</f>
        <v>8957926</v>
      </c>
      <c r="E16" s="63">
        <f t="shared" si="3"/>
        <v>8695146</v>
      </c>
      <c r="F16" s="63">
        <f t="shared" si="3"/>
        <v>9558025</v>
      </c>
      <c r="G16" s="63">
        <f t="shared" si="3"/>
        <v>7545280</v>
      </c>
      <c r="H16" s="63">
        <f t="shared" si="3"/>
        <v>8624543</v>
      </c>
      <c r="I16" s="63">
        <f t="shared" si="3"/>
        <v>7472031</v>
      </c>
      <c r="J16" s="63">
        <f t="shared" si="3"/>
        <v>8816465</v>
      </c>
      <c r="K16" s="63">
        <f t="shared" si="3"/>
        <v>8318027</v>
      </c>
      <c r="L16" s="63">
        <f t="shared" si="3"/>
        <v>7819370</v>
      </c>
      <c r="M16" s="63">
        <f t="shared" si="3"/>
        <v>9438280</v>
      </c>
      <c r="N16" s="63">
        <f t="shared" si="3"/>
        <v>10216209</v>
      </c>
    </row>
    <row r="17" spans="1:14" x14ac:dyDescent="0.35">
      <c r="A17" s="62" t="s">
        <v>4</v>
      </c>
      <c r="B17" s="62"/>
      <c r="C17" s="63">
        <f>C5</f>
        <v>138556</v>
      </c>
      <c r="D17" s="63">
        <f t="shared" ref="D17:N17" si="4">D5</f>
        <v>153008</v>
      </c>
      <c r="E17" s="63">
        <f t="shared" si="4"/>
        <v>183174</v>
      </c>
      <c r="F17" s="63">
        <f t="shared" si="4"/>
        <v>248830</v>
      </c>
      <c r="G17" s="63">
        <f t="shared" si="4"/>
        <v>261239</v>
      </c>
      <c r="H17" s="63">
        <f t="shared" si="4"/>
        <v>265476</v>
      </c>
      <c r="I17" s="63">
        <f t="shared" si="4"/>
        <v>280909</v>
      </c>
      <c r="J17" s="63">
        <f t="shared" si="4"/>
        <v>268552</v>
      </c>
      <c r="K17" s="63">
        <f t="shared" si="4"/>
        <v>234831</v>
      </c>
      <c r="L17" s="63">
        <f t="shared" si="4"/>
        <v>186155</v>
      </c>
      <c r="M17" s="63">
        <f t="shared" si="4"/>
        <v>202013</v>
      </c>
      <c r="N17" s="63">
        <f t="shared" si="4"/>
        <v>193730</v>
      </c>
    </row>
    <row r="18" spans="1:14" x14ac:dyDescent="0.35">
      <c r="A18" s="62" t="s">
        <v>85</v>
      </c>
      <c r="B18" s="62"/>
      <c r="C18" s="63">
        <f>C6-C12</f>
        <v>6096080.6400000006</v>
      </c>
      <c r="D18" s="63">
        <f t="shared" ref="D18:N18" si="5">D6-D12</f>
        <v>6187231.4700000007</v>
      </c>
      <c r="E18" s="63">
        <f t="shared" si="5"/>
        <v>6320742.6000000015</v>
      </c>
      <c r="F18" s="63">
        <f t="shared" si="5"/>
        <v>6358215.6900000013</v>
      </c>
      <c r="G18" s="63">
        <f t="shared" si="5"/>
        <v>6410197.4200000018</v>
      </c>
      <c r="H18" s="63">
        <f t="shared" si="5"/>
        <v>6508804.6300000018</v>
      </c>
      <c r="I18" s="63">
        <f t="shared" si="5"/>
        <v>6587723.700000002</v>
      </c>
      <c r="J18" s="63">
        <f t="shared" si="5"/>
        <v>6619248.0000000019</v>
      </c>
      <c r="K18" s="63">
        <f t="shared" si="5"/>
        <v>6722963.7400000012</v>
      </c>
      <c r="L18" s="63">
        <f t="shared" si="5"/>
        <v>6902754.9000000013</v>
      </c>
      <c r="M18" s="63">
        <f t="shared" si="5"/>
        <v>6954211.1100000013</v>
      </c>
      <c r="N18" s="63">
        <f t="shared" si="5"/>
        <v>7062519.3300000019</v>
      </c>
    </row>
    <row r="19" spans="1:14" x14ac:dyDescent="0.35">
      <c r="A19" s="62" t="s">
        <v>86</v>
      </c>
      <c r="B19" s="62"/>
      <c r="C19" s="63">
        <f t="shared" ref="C19" si="6">C12</f>
        <v>4725224.3599999994</v>
      </c>
      <c r="D19" s="63">
        <f t="shared" ref="D19:N19" si="7">D12</f>
        <v>4634073.5299999993</v>
      </c>
      <c r="E19" s="63">
        <f t="shared" si="7"/>
        <v>4571158.3999999985</v>
      </c>
      <c r="F19" s="63">
        <f t="shared" si="7"/>
        <v>4533685.3099999987</v>
      </c>
      <c r="G19" s="63">
        <f t="shared" si="7"/>
        <v>4481703.5799999982</v>
      </c>
      <c r="H19" s="63">
        <f t="shared" si="7"/>
        <v>4454493.3699999982</v>
      </c>
      <c r="I19" s="63">
        <f t="shared" si="7"/>
        <v>4375574.299999998</v>
      </c>
      <c r="J19" s="63">
        <f t="shared" si="7"/>
        <v>4344049.9999999981</v>
      </c>
      <c r="K19" s="63">
        <f t="shared" si="7"/>
        <v>4308351.2599999988</v>
      </c>
      <c r="L19" s="63">
        <f t="shared" si="7"/>
        <v>4228560.0999999987</v>
      </c>
      <c r="M19" s="63">
        <f t="shared" si="7"/>
        <v>4177103.8899999987</v>
      </c>
      <c r="N19" s="63">
        <f t="shared" si="7"/>
        <v>4137296.6699999985</v>
      </c>
    </row>
    <row r="20" spans="1:14" x14ac:dyDescent="0.35">
      <c r="C20" s="20">
        <f t="shared" ref="C20:N20" si="8">SUM(C16:C19)-SUM(C4:C6)</f>
        <v>0</v>
      </c>
      <c r="D20" s="20">
        <f t="shared" si="8"/>
        <v>0</v>
      </c>
      <c r="E20" s="20">
        <f t="shared" si="8"/>
        <v>0</v>
      </c>
      <c r="F20" s="20">
        <f t="shared" si="8"/>
        <v>0</v>
      </c>
      <c r="G20" s="20">
        <f t="shared" si="8"/>
        <v>0</v>
      </c>
      <c r="H20" s="20">
        <f t="shared" si="8"/>
        <v>0</v>
      </c>
      <c r="I20" s="20">
        <f t="shared" si="8"/>
        <v>0</v>
      </c>
      <c r="J20" s="20">
        <f t="shared" si="8"/>
        <v>0</v>
      </c>
      <c r="K20" s="20">
        <f t="shared" si="8"/>
        <v>0</v>
      </c>
      <c r="L20" s="20">
        <f t="shared" si="8"/>
        <v>0</v>
      </c>
      <c r="M20" s="20">
        <f t="shared" si="8"/>
        <v>0</v>
      </c>
      <c r="N20" s="20">
        <f t="shared" si="8"/>
        <v>0</v>
      </c>
    </row>
    <row r="21" spans="1:14" x14ac:dyDescent="0.35">
      <c r="N21" s="20">
        <f>N19+N17</f>
        <v>4331026.6699999981</v>
      </c>
    </row>
    <row r="22" spans="1:14" x14ac:dyDescent="0.35">
      <c r="N22" s="20">
        <f>'Net Assets'!J10</f>
        <v>4331026.6499999994</v>
      </c>
    </row>
    <row r="23" spans="1:14" x14ac:dyDescent="0.35">
      <c r="N23" s="20">
        <f>N21-N22</f>
        <v>1.999999862164259E-2</v>
      </c>
    </row>
    <row r="25" spans="1:14" x14ac:dyDescent="0.35">
      <c r="C25" s="20">
        <f>SUM(C16:C19)</f>
        <v>18763770</v>
      </c>
      <c r="D25" s="20">
        <f t="shared" ref="D25:N25" si="9">SUM(D16:D19)</f>
        <v>19932239</v>
      </c>
      <c r="E25" s="20">
        <f t="shared" si="9"/>
        <v>19770221</v>
      </c>
      <c r="F25" s="20">
        <f t="shared" si="9"/>
        <v>20698756</v>
      </c>
      <c r="G25" s="20">
        <f t="shared" si="9"/>
        <v>18698420</v>
      </c>
      <c r="H25" s="20">
        <f t="shared" si="9"/>
        <v>19853317</v>
      </c>
      <c r="I25" s="20">
        <f t="shared" si="9"/>
        <v>18716238</v>
      </c>
      <c r="J25" s="20">
        <f t="shared" si="9"/>
        <v>20048315</v>
      </c>
      <c r="K25" s="20">
        <f t="shared" si="9"/>
        <v>19584173</v>
      </c>
      <c r="L25" s="20">
        <f t="shared" si="9"/>
        <v>19136840</v>
      </c>
      <c r="M25" s="20">
        <f t="shared" si="9"/>
        <v>20771608</v>
      </c>
      <c r="N25" s="20">
        <f t="shared" si="9"/>
        <v>21609755</v>
      </c>
    </row>
    <row r="27" spans="1:14" x14ac:dyDescent="0.35">
      <c r="B27" s="127" t="s">
        <v>76</v>
      </c>
      <c r="C27" s="128">
        <f>C15</f>
        <v>45504</v>
      </c>
      <c r="D27" s="128">
        <f t="shared" ref="D27:N27" si="10">D15</f>
        <v>45535</v>
      </c>
      <c r="E27" s="128">
        <f t="shared" si="10"/>
        <v>45565</v>
      </c>
      <c r="F27" s="128">
        <f t="shared" si="10"/>
        <v>45596</v>
      </c>
      <c r="G27" s="128">
        <f t="shared" si="10"/>
        <v>45626</v>
      </c>
      <c r="H27" s="128">
        <f t="shared" si="10"/>
        <v>45657</v>
      </c>
      <c r="I27" s="128">
        <f t="shared" si="10"/>
        <v>45688</v>
      </c>
      <c r="J27" s="128">
        <f t="shared" si="10"/>
        <v>45716</v>
      </c>
      <c r="K27" s="128">
        <f t="shared" si="10"/>
        <v>45747</v>
      </c>
      <c r="L27" s="128">
        <f t="shared" si="10"/>
        <v>45777</v>
      </c>
      <c r="M27" s="128">
        <f t="shared" si="10"/>
        <v>45808</v>
      </c>
      <c r="N27" s="128">
        <f t="shared" si="10"/>
        <v>45838</v>
      </c>
    </row>
    <row r="28" spans="1:14" x14ac:dyDescent="0.35">
      <c r="B28" s="129" t="s">
        <v>105</v>
      </c>
      <c r="C28" s="130">
        <f>C16</f>
        <v>7803909</v>
      </c>
      <c r="D28" s="130">
        <f t="shared" ref="D28:N28" si="11">D16</f>
        <v>8957926</v>
      </c>
      <c r="E28" s="130">
        <f t="shared" si="11"/>
        <v>8695146</v>
      </c>
      <c r="F28" s="130">
        <f t="shared" si="11"/>
        <v>9558025</v>
      </c>
      <c r="G28" s="130">
        <f t="shared" si="11"/>
        <v>7545280</v>
      </c>
      <c r="H28" s="130">
        <f t="shared" si="11"/>
        <v>8624543</v>
      </c>
      <c r="I28" s="130">
        <f t="shared" si="11"/>
        <v>7472031</v>
      </c>
      <c r="J28" s="130">
        <f t="shared" si="11"/>
        <v>8816465</v>
      </c>
      <c r="K28" s="130">
        <f t="shared" si="11"/>
        <v>8318027</v>
      </c>
      <c r="L28" s="130">
        <f t="shared" si="11"/>
        <v>7819370</v>
      </c>
      <c r="M28" s="130">
        <f t="shared" si="11"/>
        <v>9438280</v>
      </c>
      <c r="N28" s="130">
        <f t="shared" si="11"/>
        <v>10216209</v>
      </c>
    </row>
    <row r="29" spans="1:14" x14ac:dyDescent="0.35">
      <c r="B29" s="104" t="s">
        <v>106</v>
      </c>
      <c r="C29" s="130">
        <f t="shared" ref="C29:N31" si="12">C17</f>
        <v>138556</v>
      </c>
      <c r="D29" s="130">
        <f t="shared" si="12"/>
        <v>153008</v>
      </c>
      <c r="E29" s="130">
        <f t="shared" si="12"/>
        <v>183174</v>
      </c>
      <c r="F29" s="130">
        <f t="shared" si="12"/>
        <v>248830</v>
      </c>
      <c r="G29" s="130">
        <f t="shared" si="12"/>
        <v>261239</v>
      </c>
      <c r="H29" s="130">
        <f t="shared" si="12"/>
        <v>265476</v>
      </c>
      <c r="I29" s="130">
        <f t="shared" si="12"/>
        <v>280909</v>
      </c>
      <c r="J29" s="130">
        <f t="shared" si="12"/>
        <v>268552</v>
      </c>
      <c r="K29" s="130">
        <f t="shared" si="12"/>
        <v>234831</v>
      </c>
      <c r="L29" s="130">
        <f t="shared" si="12"/>
        <v>186155</v>
      </c>
      <c r="M29" s="130">
        <f t="shared" si="12"/>
        <v>202013</v>
      </c>
      <c r="N29" s="130">
        <f t="shared" si="12"/>
        <v>193730</v>
      </c>
    </row>
    <row r="30" spans="1:14" x14ac:dyDescent="0.35">
      <c r="B30" s="104" t="s">
        <v>107</v>
      </c>
      <c r="C30" s="130">
        <f t="shared" si="12"/>
        <v>6096080.6400000006</v>
      </c>
      <c r="D30" s="130">
        <f t="shared" si="12"/>
        <v>6187231.4700000007</v>
      </c>
      <c r="E30" s="130">
        <f t="shared" si="12"/>
        <v>6320742.6000000015</v>
      </c>
      <c r="F30" s="130">
        <f t="shared" si="12"/>
        <v>6358215.6900000013</v>
      </c>
      <c r="G30" s="130">
        <f t="shared" si="12"/>
        <v>6410197.4200000018</v>
      </c>
      <c r="H30" s="130">
        <f t="shared" si="12"/>
        <v>6508804.6300000018</v>
      </c>
      <c r="I30" s="130">
        <f t="shared" si="12"/>
        <v>6587723.700000002</v>
      </c>
      <c r="J30" s="130">
        <f t="shared" si="12"/>
        <v>6619248.0000000019</v>
      </c>
      <c r="K30" s="130">
        <f t="shared" si="12"/>
        <v>6722963.7400000012</v>
      </c>
      <c r="L30" s="130">
        <f t="shared" si="12"/>
        <v>6902754.9000000013</v>
      </c>
      <c r="M30" s="130">
        <f t="shared" si="12"/>
        <v>6954211.1100000013</v>
      </c>
      <c r="N30" s="130">
        <f t="shared" si="12"/>
        <v>7062519.3300000019</v>
      </c>
    </row>
    <row r="31" spans="1:14" x14ac:dyDescent="0.35">
      <c r="B31" s="104" t="s">
        <v>108</v>
      </c>
      <c r="C31" s="130">
        <f t="shared" si="12"/>
        <v>4725224.3599999994</v>
      </c>
      <c r="D31" s="130">
        <f t="shared" si="12"/>
        <v>4634073.5299999993</v>
      </c>
      <c r="E31" s="130">
        <f t="shared" si="12"/>
        <v>4571158.3999999985</v>
      </c>
      <c r="F31" s="130">
        <f t="shared" si="12"/>
        <v>4533685.3099999987</v>
      </c>
      <c r="G31" s="130">
        <f t="shared" si="12"/>
        <v>4481703.5799999982</v>
      </c>
      <c r="H31" s="130">
        <f t="shared" si="12"/>
        <v>4454493.3699999982</v>
      </c>
      <c r="I31" s="130">
        <f t="shared" si="12"/>
        <v>4375574.299999998</v>
      </c>
      <c r="J31" s="130">
        <f t="shared" si="12"/>
        <v>4344049.9999999981</v>
      </c>
      <c r="K31" s="130">
        <f t="shared" si="12"/>
        <v>4308351.2599999988</v>
      </c>
      <c r="L31" s="130">
        <f t="shared" si="12"/>
        <v>4228560.0999999987</v>
      </c>
      <c r="M31" s="130">
        <f t="shared" si="12"/>
        <v>4177103.8899999987</v>
      </c>
      <c r="N31" s="130">
        <f t="shared" si="12"/>
        <v>4137296.6699999985</v>
      </c>
    </row>
    <row r="32" spans="1:14" x14ac:dyDescent="0.35">
      <c r="B32" s="104" t="s">
        <v>37</v>
      </c>
      <c r="C32" s="130">
        <f>SUM(C28:C31)</f>
        <v>18763770</v>
      </c>
      <c r="D32" s="130">
        <f t="shared" ref="D32:N32" si="13">SUM(D28:D31)</f>
        <v>19932239</v>
      </c>
      <c r="E32" s="130">
        <f t="shared" si="13"/>
        <v>19770221</v>
      </c>
      <c r="F32" s="130">
        <f t="shared" si="13"/>
        <v>20698756</v>
      </c>
      <c r="G32" s="130">
        <f t="shared" si="13"/>
        <v>18698420</v>
      </c>
      <c r="H32" s="130">
        <f t="shared" si="13"/>
        <v>19853317</v>
      </c>
      <c r="I32" s="130">
        <f t="shared" si="13"/>
        <v>18716238</v>
      </c>
      <c r="J32" s="130">
        <f t="shared" si="13"/>
        <v>20048315</v>
      </c>
      <c r="K32" s="130">
        <f t="shared" si="13"/>
        <v>19584173</v>
      </c>
      <c r="L32" s="130">
        <f t="shared" si="13"/>
        <v>19136840</v>
      </c>
      <c r="M32" s="130">
        <f t="shared" si="13"/>
        <v>20771608</v>
      </c>
      <c r="N32" s="130">
        <f t="shared" si="13"/>
        <v>21609755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A3D2A-C586-4326-AA73-CFA86FDA7DEA}">
  <sheetPr>
    <tabColor rgb="FF00B050"/>
  </sheetPr>
  <dimension ref="A1:B17"/>
  <sheetViews>
    <sheetView workbookViewId="0">
      <selection activeCell="B8" sqref="B8"/>
    </sheetView>
  </sheetViews>
  <sheetFormatPr defaultRowHeight="14.5" x14ac:dyDescent="0.35"/>
  <cols>
    <col min="1" max="1" width="8.54296875" bestFit="1" customWidth="1"/>
    <col min="2" max="2" width="15.26953125" bestFit="1" customWidth="1"/>
  </cols>
  <sheetData>
    <row r="1" spans="1:2" x14ac:dyDescent="0.35">
      <c r="A1" s="56" t="s">
        <v>76</v>
      </c>
      <c r="B1" t="s">
        <v>146</v>
      </c>
    </row>
    <row r="3" spans="1:2" x14ac:dyDescent="0.35">
      <c r="A3" s="56" t="s">
        <v>75</v>
      </c>
    </row>
    <row r="4" spans="1:2" x14ac:dyDescent="0.35">
      <c r="A4" s="66" t="s">
        <v>109</v>
      </c>
      <c r="B4" s="20">
        <v>18763770</v>
      </c>
    </row>
    <row r="5" spans="1:2" x14ac:dyDescent="0.35">
      <c r="A5" s="66" t="s">
        <v>110</v>
      </c>
      <c r="B5" s="20">
        <v>19932239</v>
      </c>
    </row>
    <row r="6" spans="1:2" x14ac:dyDescent="0.35">
      <c r="A6" s="66" t="s">
        <v>111</v>
      </c>
      <c r="B6" s="20">
        <v>19770221</v>
      </c>
    </row>
    <row r="7" spans="1:2" x14ac:dyDescent="0.35">
      <c r="A7" s="66" t="s">
        <v>112</v>
      </c>
      <c r="B7" s="20">
        <v>20698756</v>
      </c>
    </row>
    <row r="8" spans="1:2" x14ac:dyDescent="0.35">
      <c r="A8" s="66" t="s">
        <v>113</v>
      </c>
      <c r="B8" s="20">
        <v>18698420</v>
      </c>
    </row>
    <row r="9" spans="1:2" x14ac:dyDescent="0.35">
      <c r="A9" s="66" t="s">
        <v>114</v>
      </c>
      <c r="B9" s="20">
        <v>19853317</v>
      </c>
    </row>
    <row r="10" spans="1:2" x14ac:dyDescent="0.35">
      <c r="A10" s="66" t="s">
        <v>115</v>
      </c>
      <c r="B10" s="20">
        <v>18716238</v>
      </c>
    </row>
    <row r="11" spans="1:2" x14ac:dyDescent="0.35">
      <c r="A11" s="66" t="s">
        <v>116</v>
      </c>
      <c r="B11" s="20">
        <v>20048315</v>
      </c>
    </row>
    <row r="12" spans="1:2" x14ac:dyDescent="0.35">
      <c r="A12" s="66" t="s">
        <v>117</v>
      </c>
      <c r="B12" s="20">
        <v>19584173</v>
      </c>
    </row>
    <row r="13" spans="1:2" x14ac:dyDescent="0.35">
      <c r="A13" s="66" t="s">
        <v>118</v>
      </c>
      <c r="B13" s="20">
        <v>19136840</v>
      </c>
    </row>
    <row r="14" spans="1:2" x14ac:dyDescent="0.35">
      <c r="A14" s="66" t="s">
        <v>119</v>
      </c>
      <c r="B14" s="20">
        <v>20771608</v>
      </c>
    </row>
    <row r="15" spans="1:2" x14ac:dyDescent="0.35">
      <c r="A15" s="66" t="s">
        <v>120</v>
      </c>
      <c r="B15" s="20">
        <v>21609755</v>
      </c>
    </row>
    <row r="17" spans="1:2" x14ac:dyDescent="0.35">
      <c r="A17" s="131" t="s">
        <v>121</v>
      </c>
      <c r="B17" s="132">
        <f>GETPIVOTDATA("6/30/25",$A$3)</f>
        <v>21609755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D17C-3FCD-46F6-B3C7-A199EC92FA07}">
  <sheetPr>
    <tabColor rgb="FF00B050"/>
  </sheetPr>
  <dimension ref="A1:J27"/>
  <sheetViews>
    <sheetView topLeftCell="A2" workbookViewId="0">
      <selection activeCell="B8" sqref="B8"/>
    </sheetView>
  </sheetViews>
  <sheetFormatPr defaultRowHeight="14.5" x14ac:dyDescent="0.35"/>
  <cols>
    <col min="1" max="1" width="10.453125" bestFit="1" customWidth="1"/>
    <col min="2" max="2" width="27.26953125" bestFit="1" customWidth="1"/>
    <col min="3" max="3" width="17.54296875" bestFit="1" customWidth="1"/>
    <col min="4" max="4" width="16.54296875" bestFit="1" customWidth="1"/>
    <col min="5" max="5" width="18.54296875" bestFit="1" customWidth="1"/>
    <col min="6" max="7" width="15.26953125" bestFit="1" customWidth="1"/>
    <col min="8" max="8" width="18.26953125" bestFit="1" customWidth="1"/>
    <col min="9" max="9" width="14.26953125" bestFit="1" customWidth="1"/>
    <col min="10" max="10" width="26.26953125" bestFit="1" customWidth="1"/>
  </cols>
  <sheetData>
    <row r="1" spans="1:10" x14ac:dyDescent="0.35">
      <c r="A1" s="68" t="s">
        <v>94</v>
      </c>
      <c r="B1" s="68" t="s">
        <v>31</v>
      </c>
      <c r="C1" s="133" t="s">
        <v>90</v>
      </c>
      <c r="D1" s="68" t="s">
        <v>91</v>
      </c>
      <c r="E1" s="133" t="s">
        <v>92</v>
      </c>
      <c r="F1" s="68" t="s">
        <v>93</v>
      </c>
      <c r="G1" s="68" t="s">
        <v>122</v>
      </c>
      <c r="H1" s="74" t="s">
        <v>95</v>
      </c>
      <c r="I1" s="74" t="s">
        <v>96</v>
      </c>
      <c r="J1" s="74" t="s">
        <v>87</v>
      </c>
    </row>
    <row r="2" spans="1:10" x14ac:dyDescent="0.35">
      <c r="A2" s="72">
        <v>45504</v>
      </c>
      <c r="B2" s="63">
        <f>'Cash Analysis'!C17</f>
        <v>138556</v>
      </c>
      <c r="C2" s="71">
        <f>'Cash Analysis'!C16</f>
        <v>7803909</v>
      </c>
      <c r="D2" s="71">
        <f>'Cash Analysis'!C$19</f>
        <v>4725224.3599999994</v>
      </c>
      <c r="E2" s="71">
        <f>'Cash Analysis'!C$18</f>
        <v>6096080.6400000006</v>
      </c>
      <c r="F2" s="71">
        <f>SUM(B2:E2)</f>
        <v>18763770</v>
      </c>
      <c r="G2" s="63">
        <f>GETPIVOTDATA("7/31/24",'Pv Cash'!$A$3)</f>
        <v>18763770</v>
      </c>
      <c r="H2" s="75">
        <f>IF(G2&lt;=D2,0,IF(G2=D2+E2,E2,IF(G2=C2+D2,C2,IF(G2=E2+B2,E2,IF(G2=B2+E2,E2,IF(G2=B2+C2,C2,IF(G2=F2,E2+C2,IF(G2=B2+E2+D2,E2,IF(G2=D2+E2+C2,C2+E2,IF(G2=E2+B2+C2,C2+E2,IF(G2=D2+B2+C2,C2,G2)))))))))))</f>
        <v>13899989.640000001</v>
      </c>
      <c r="I2" s="73">
        <f>'Luna Analysis'!B23</f>
        <v>3527944.0000000005</v>
      </c>
      <c r="J2" s="75">
        <f>H2/I2</f>
        <v>3.9399688997331022</v>
      </c>
    </row>
    <row r="3" spans="1:10" x14ac:dyDescent="0.35">
      <c r="A3" s="72">
        <v>45535</v>
      </c>
      <c r="B3" s="63">
        <f>'Cash Analysis'!D17</f>
        <v>153008</v>
      </c>
      <c r="C3" s="71">
        <f>'Cash Analysis'!D$16</f>
        <v>8957926</v>
      </c>
      <c r="D3" s="71">
        <f>'Cash Analysis'!D$19</f>
        <v>4634073.5299999993</v>
      </c>
      <c r="E3" s="71">
        <f>'Cash Analysis'!D$18</f>
        <v>6187231.4700000007</v>
      </c>
      <c r="F3" s="71">
        <f t="shared" ref="F3:F13" si="0">SUM(B3:E3)</f>
        <v>19932239</v>
      </c>
      <c r="G3" s="63">
        <f>GETPIVOTDATA("08/31/24",'Pv Cash'!$A$3)</f>
        <v>19932239</v>
      </c>
      <c r="H3" s="75">
        <f t="shared" ref="H3:H13" si="1">IF(G3&lt;=D3,0,IF(G3=D3+E3,E3,IF(G3=C3+D3,C3,IF(G3=E3+B3,E3,IF(G3=B3+E3,E3,IF(G3=B3+C3,C3,IF(G3=F3,E3+C3,IF(G3=B3+E3+D3,E3,IF(G3=D3+E3+C3,C3+E3,IF(G3=E3+B3+C3,C3+E3,IF(G3=D3+B3+C3,C3,G3)))))))))))</f>
        <v>15145157.470000001</v>
      </c>
      <c r="I3" s="73">
        <f>'Luna Analysis'!C23</f>
        <v>3789216.5</v>
      </c>
      <c r="J3" s="75">
        <f t="shared" ref="J3:J13" si="2">H3/I3</f>
        <v>3.9969100393181547</v>
      </c>
    </row>
    <row r="4" spans="1:10" x14ac:dyDescent="0.35">
      <c r="A4" s="72">
        <v>45565</v>
      </c>
      <c r="B4" s="63">
        <f>'Cash Analysis'!E17</f>
        <v>183174</v>
      </c>
      <c r="C4" s="71">
        <f>'Cash Analysis'!E$16</f>
        <v>8695146</v>
      </c>
      <c r="D4" s="71">
        <f>'Cash Analysis'!E$19</f>
        <v>4571158.3999999985</v>
      </c>
      <c r="E4" s="71">
        <f>'Cash Analysis'!E$18</f>
        <v>6320742.6000000015</v>
      </c>
      <c r="F4" s="71">
        <f t="shared" si="0"/>
        <v>19770221</v>
      </c>
      <c r="G4" s="63">
        <f>GETPIVOTDATA("09/30/24",'Pv Cash'!$A$3)</f>
        <v>19770221</v>
      </c>
      <c r="H4" s="75">
        <f t="shared" si="1"/>
        <v>15015888.600000001</v>
      </c>
      <c r="I4" s="73">
        <f>'Luna Analysis'!D23</f>
        <v>3884529.3333333335</v>
      </c>
      <c r="J4" s="75">
        <f t="shared" si="2"/>
        <v>3.8655619024801635</v>
      </c>
    </row>
    <row r="5" spans="1:10" x14ac:dyDescent="0.35">
      <c r="A5" s="72">
        <v>45596</v>
      </c>
      <c r="B5" s="63">
        <f>'Cash Analysis'!F17</f>
        <v>248830</v>
      </c>
      <c r="C5" s="71">
        <f>'Cash Analysis'!F$16</f>
        <v>9558025</v>
      </c>
      <c r="D5" s="71">
        <f>'Cash Analysis'!F$19</f>
        <v>4533685.3099999987</v>
      </c>
      <c r="E5" s="71">
        <f>'Cash Analysis'!F$18</f>
        <v>6358215.6900000013</v>
      </c>
      <c r="F5" s="71">
        <f t="shared" si="0"/>
        <v>20698756</v>
      </c>
      <c r="G5" s="63">
        <f>GETPIVOTDATA("10/31/24",'Pv Cash'!$A$3)</f>
        <v>20698756</v>
      </c>
      <c r="H5" s="75">
        <f t="shared" si="1"/>
        <v>15916240.690000001</v>
      </c>
      <c r="I5" s="73">
        <f>'Luna Analysis'!E23</f>
        <v>3869489.0000000005</v>
      </c>
      <c r="J5" s="75">
        <f t="shared" si="2"/>
        <v>4.1132668137834223</v>
      </c>
    </row>
    <row r="6" spans="1:10" x14ac:dyDescent="0.35">
      <c r="A6" s="72">
        <v>45626</v>
      </c>
      <c r="B6" s="63">
        <f>'Cash Analysis'!G17</f>
        <v>261239</v>
      </c>
      <c r="C6" s="71">
        <f>'Cash Analysis'!G$16</f>
        <v>7545280</v>
      </c>
      <c r="D6" s="71">
        <f>'Cash Analysis'!G$19</f>
        <v>4481703.5799999982</v>
      </c>
      <c r="E6" s="71">
        <f>'Cash Analysis'!G$18</f>
        <v>6410197.4200000018</v>
      </c>
      <c r="F6" s="71">
        <f t="shared" si="0"/>
        <v>18698420</v>
      </c>
      <c r="G6" s="63">
        <f>GETPIVOTDATA("11/30/24",'Pv Cash'!$A$3)</f>
        <v>18698420</v>
      </c>
      <c r="H6" s="75">
        <f t="shared" si="1"/>
        <v>13955477.420000002</v>
      </c>
      <c r="I6" s="73">
        <f>'Luna Analysis'!F23</f>
        <v>3976155.1999999993</v>
      </c>
      <c r="J6" s="75">
        <f t="shared" si="2"/>
        <v>3.5097919266330462</v>
      </c>
    </row>
    <row r="7" spans="1:10" x14ac:dyDescent="0.35">
      <c r="A7" s="72">
        <v>45657</v>
      </c>
      <c r="B7" s="63">
        <f>'Cash Analysis'!H17</f>
        <v>265476</v>
      </c>
      <c r="C7" s="71">
        <f>'Cash Analysis'!H$16</f>
        <v>8624543</v>
      </c>
      <c r="D7" s="71">
        <f>'Cash Analysis'!H$19</f>
        <v>4454493.3699999982</v>
      </c>
      <c r="E7" s="71">
        <f>'Cash Analysis'!H$18</f>
        <v>6508804.6300000018</v>
      </c>
      <c r="F7" s="71">
        <f t="shared" si="0"/>
        <v>19853317</v>
      </c>
      <c r="G7" s="63">
        <f>GETPIVOTDATA("12/31/24",'Pv Cash'!$A$3)</f>
        <v>19853317</v>
      </c>
      <c r="H7" s="75">
        <f t="shared" si="1"/>
        <v>15133347.630000003</v>
      </c>
      <c r="I7" s="73">
        <f>'Luna Analysis'!G23</f>
        <v>3997996.8333333335</v>
      </c>
      <c r="J7" s="75">
        <f t="shared" si="2"/>
        <v>3.7852325204026136</v>
      </c>
    </row>
    <row r="8" spans="1:10" x14ac:dyDescent="0.35">
      <c r="A8" s="72">
        <v>45688</v>
      </c>
      <c r="B8" s="63">
        <f>'Cash Analysis'!I17</f>
        <v>280909</v>
      </c>
      <c r="C8" s="71">
        <f>'Cash Analysis'!I$16</f>
        <v>7472031</v>
      </c>
      <c r="D8" s="71">
        <f>'Cash Analysis'!I$19</f>
        <v>4375574.299999998</v>
      </c>
      <c r="E8" s="71">
        <f>'Cash Analysis'!I$18</f>
        <v>6587723.700000002</v>
      </c>
      <c r="F8" s="71">
        <f t="shared" si="0"/>
        <v>18716238</v>
      </c>
      <c r="G8" s="63">
        <f>GETPIVOTDATA("1/31/25",'Pv Cash'!$A$3)</f>
        <v>18716238</v>
      </c>
      <c r="H8" s="75">
        <f t="shared" si="1"/>
        <v>14059754.700000003</v>
      </c>
      <c r="I8" s="73">
        <f>'Luna Analysis'!H23</f>
        <v>4054052.0000000005</v>
      </c>
      <c r="J8" s="75">
        <f t="shared" si="2"/>
        <v>3.4680745831577893</v>
      </c>
    </row>
    <row r="9" spans="1:10" x14ac:dyDescent="0.35">
      <c r="A9" s="72">
        <v>45716</v>
      </c>
      <c r="B9" s="63">
        <f>'Cash Analysis'!J17</f>
        <v>268552</v>
      </c>
      <c r="C9" s="71">
        <f>'Cash Analysis'!J$16</f>
        <v>8816465</v>
      </c>
      <c r="D9" s="71">
        <f>'Cash Analysis'!J$19</f>
        <v>4344049.9999999981</v>
      </c>
      <c r="E9" s="71">
        <f>'Cash Analysis'!J$18</f>
        <v>6619248.0000000019</v>
      </c>
      <c r="F9" s="71">
        <f t="shared" si="0"/>
        <v>20048315</v>
      </c>
      <c r="G9" s="63">
        <f>GETPIVOTDATA("2/28/25",'Pv Cash'!$A$3)</f>
        <v>20048315</v>
      </c>
      <c r="H9" s="75">
        <f t="shared" si="1"/>
        <v>15435713.000000002</v>
      </c>
      <c r="I9" s="73">
        <f>'Luna Analysis'!I23</f>
        <v>4034388.2500000005</v>
      </c>
      <c r="J9" s="75">
        <f t="shared" si="2"/>
        <v>3.8260355829660173</v>
      </c>
    </row>
    <row r="10" spans="1:10" x14ac:dyDescent="0.35">
      <c r="A10" s="72">
        <v>45747</v>
      </c>
      <c r="B10" s="63">
        <f>'Cash Analysis'!K17</f>
        <v>234831</v>
      </c>
      <c r="C10" s="71">
        <f>'Cash Analysis'!K$16</f>
        <v>8318027</v>
      </c>
      <c r="D10" s="71">
        <f>'Cash Analysis'!K$19</f>
        <v>4308351.2599999988</v>
      </c>
      <c r="E10" s="71">
        <f>'Cash Analysis'!K$18</f>
        <v>6722963.7400000012</v>
      </c>
      <c r="F10" s="71">
        <f t="shared" si="0"/>
        <v>19584173</v>
      </c>
      <c r="G10" s="63">
        <f>GETPIVOTDATA("3/31/25",'Pv Cash'!$A$3)</f>
        <v>19584173</v>
      </c>
      <c r="H10" s="75">
        <f t="shared" si="1"/>
        <v>15040990.740000002</v>
      </c>
      <c r="I10" s="73">
        <f>'Luna Analysis'!J23</f>
        <v>4025748.7777777785</v>
      </c>
      <c r="J10" s="75">
        <f t="shared" si="2"/>
        <v>3.7361970580545414</v>
      </c>
    </row>
    <row r="11" spans="1:10" x14ac:dyDescent="0.35">
      <c r="A11" s="72">
        <v>45777</v>
      </c>
      <c r="B11" s="63">
        <f>'Cash Analysis'!L17</f>
        <v>186155</v>
      </c>
      <c r="C11" s="71">
        <f>'Cash Analysis'!L$16</f>
        <v>7819370</v>
      </c>
      <c r="D11" s="71">
        <f>'Cash Analysis'!L$19</f>
        <v>4228560.0999999987</v>
      </c>
      <c r="E11" s="71">
        <f>'Cash Analysis'!L$18</f>
        <v>6902754.9000000013</v>
      </c>
      <c r="F11" s="71">
        <f t="shared" si="0"/>
        <v>19136840</v>
      </c>
      <c r="G11" s="63">
        <f>GETPIVOTDATA("4/30/25",'Pv Cash'!$A$3)</f>
        <v>19136840</v>
      </c>
      <c r="H11" s="75">
        <f t="shared" si="1"/>
        <v>14722124.900000002</v>
      </c>
      <c r="I11" s="73">
        <f>'Luna Analysis'!K23</f>
        <v>4023131</v>
      </c>
      <c r="J11" s="75">
        <f t="shared" si="2"/>
        <v>3.6593700031144905</v>
      </c>
    </row>
    <row r="12" spans="1:10" x14ac:dyDescent="0.35">
      <c r="A12" s="72">
        <v>45808</v>
      </c>
      <c r="B12" s="63">
        <f>'Cash Analysis'!M17</f>
        <v>202013</v>
      </c>
      <c r="C12" s="71">
        <f>'Cash Analysis'!M$16</f>
        <v>9438280</v>
      </c>
      <c r="D12" s="71">
        <f>'Cash Analysis'!M$19</f>
        <v>4177103.8899999987</v>
      </c>
      <c r="E12" s="71">
        <f>'Cash Analysis'!M$18</f>
        <v>6954211.1100000013</v>
      </c>
      <c r="F12" s="71">
        <f t="shared" si="0"/>
        <v>20771608</v>
      </c>
      <c r="G12" s="63">
        <f>GETPIVOTDATA("5/31/25",'Pv Cash'!$A$3)</f>
        <v>20771608</v>
      </c>
      <c r="H12" s="75">
        <f t="shared" si="1"/>
        <v>16392491.110000001</v>
      </c>
      <c r="I12" s="73">
        <f>'Luna Analysis'!L23</f>
        <v>4025854.2727272729</v>
      </c>
      <c r="J12" s="75">
        <f t="shared" si="2"/>
        <v>4.0718043921880662</v>
      </c>
    </row>
    <row r="13" spans="1:10" x14ac:dyDescent="0.35">
      <c r="A13" s="72">
        <v>45838</v>
      </c>
      <c r="B13" s="63">
        <f>'Cash Analysis'!N17</f>
        <v>193730</v>
      </c>
      <c r="C13" s="71">
        <f>'Cash Analysis'!N$16</f>
        <v>10216209</v>
      </c>
      <c r="D13" s="71">
        <f>'Cash Analysis'!N$19</f>
        <v>4137296.6699999985</v>
      </c>
      <c r="E13" s="71">
        <f>'Cash Analysis'!N$18</f>
        <v>7062519.3300000019</v>
      </c>
      <c r="F13" s="71">
        <f t="shared" si="0"/>
        <v>21609755</v>
      </c>
      <c r="G13" s="63">
        <f>GETPIVOTDATA("6/30/25",'Pv Cash'!$A$3)</f>
        <v>21609755</v>
      </c>
      <c r="H13" s="75">
        <f t="shared" si="1"/>
        <v>17278728.330000002</v>
      </c>
      <c r="I13" s="73">
        <f>'Luna Analysis'!M23</f>
        <v>3980770.6666666665</v>
      </c>
      <c r="J13" s="75">
        <f t="shared" si="2"/>
        <v>4.3405485462111528</v>
      </c>
    </row>
    <row r="14" spans="1:10" x14ac:dyDescent="0.35">
      <c r="A14" s="70"/>
      <c r="B14" s="70"/>
      <c r="C14" s="20"/>
      <c r="E14" s="20"/>
      <c r="H14" s="31"/>
    </row>
    <row r="15" spans="1:10" x14ac:dyDescent="0.35">
      <c r="A15" s="70" t="s">
        <v>94</v>
      </c>
      <c r="B15" s="74" t="s">
        <v>87</v>
      </c>
      <c r="C15" s="20"/>
      <c r="E15" s="20"/>
      <c r="H15" s="31"/>
    </row>
    <row r="16" spans="1:10" x14ac:dyDescent="0.35">
      <c r="A16" s="72">
        <f>A2</f>
        <v>45504</v>
      </c>
      <c r="B16" s="65">
        <f>J2</f>
        <v>3.9399688997331022</v>
      </c>
      <c r="H16" s="31"/>
    </row>
    <row r="17" spans="1:2" x14ac:dyDescent="0.35">
      <c r="A17" s="72">
        <f t="shared" ref="A17:A27" si="3">A3</f>
        <v>45535</v>
      </c>
      <c r="B17" s="65">
        <f t="shared" ref="B17:B27" si="4">J3</f>
        <v>3.9969100393181547</v>
      </c>
    </row>
    <row r="18" spans="1:2" x14ac:dyDescent="0.35">
      <c r="A18" s="72">
        <f t="shared" si="3"/>
        <v>45565</v>
      </c>
      <c r="B18" s="65">
        <f t="shared" si="4"/>
        <v>3.8655619024801635</v>
      </c>
    </row>
    <row r="19" spans="1:2" x14ac:dyDescent="0.35">
      <c r="A19" s="72">
        <f t="shared" si="3"/>
        <v>45596</v>
      </c>
      <c r="B19" s="65">
        <f t="shared" si="4"/>
        <v>4.1132668137834223</v>
      </c>
    </row>
    <row r="20" spans="1:2" x14ac:dyDescent="0.35">
      <c r="A20" s="72">
        <f t="shared" si="3"/>
        <v>45626</v>
      </c>
      <c r="B20" s="65">
        <f t="shared" si="4"/>
        <v>3.5097919266330462</v>
      </c>
    </row>
    <row r="21" spans="1:2" x14ac:dyDescent="0.35">
      <c r="A21" s="72">
        <f t="shared" si="3"/>
        <v>45657</v>
      </c>
      <c r="B21" s="65">
        <f t="shared" si="4"/>
        <v>3.7852325204026136</v>
      </c>
    </row>
    <row r="22" spans="1:2" x14ac:dyDescent="0.35">
      <c r="A22" s="72">
        <f t="shared" si="3"/>
        <v>45688</v>
      </c>
      <c r="B22" s="65">
        <f t="shared" si="4"/>
        <v>3.4680745831577893</v>
      </c>
    </row>
    <row r="23" spans="1:2" x14ac:dyDescent="0.35">
      <c r="A23" s="72">
        <f t="shared" si="3"/>
        <v>45716</v>
      </c>
      <c r="B23" s="65">
        <f t="shared" si="4"/>
        <v>3.8260355829660173</v>
      </c>
    </row>
    <row r="24" spans="1:2" x14ac:dyDescent="0.35">
      <c r="A24" s="72">
        <f t="shared" si="3"/>
        <v>45747</v>
      </c>
      <c r="B24" s="65">
        <f t="shared" si="4"/>
        <v>3.7361970580545414</v>
      </c>
    </row>
    <row r="25" spans="1:2" x14ac:dyDescent="0.35">
      <c r="A25" s="72">
        <f t="shared" si="3"/>
        <v>45777</v>
      </c>
      <c r="B25" s="65">
        <f t="shared" si="4"/>
        <v>3.6593700031144905</v>
      </c>
    </row>
    <row r="26" spans="1:2" x14ac:dyDescent="0.35">
      <c r="A26" s="72">
        <f t="shared" si="3"/>
        <v>45808</v>
      </c>
      <c r="B26" s="65">
        <f t="shared" si="4"/>
        <v>4.0718043921880662</v>
      </c>
    </row>
    <row r="27" spans="1:2" x14ac:dyDescent="0.35">
      <c r="A27" s="72">
        <f t="shared" si="3"/>
        <v>45838</v>
      </c>
      <c r="B27" s="65">
        <f t="shared" si="4"/>
        <v>4.3405485462111528</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420E4-5F38-45BF-9ED9-F83528360702}">
  <sheetPr>
    <tabColor rgb="FF00B050"/>
  </sheetPr>
  <dimension ref="A1:M35"/>
  <sheetViews>
    <sheetView topLeftCell="A8" workbookViewId="0">
      <selection activeCell="B8" sqref="B8"/>
    </sheetView>
  </sheetViews>
  <sheetFormatPr defaultRowHeight="14.5" x14ac:dyDescent="0.35"/>
  <cols>
    <col min="1" max="1" width="39.54296875" bestFit="1" customWidth="1"/>
    <col min="2" max="13" width="15.26953125" bestFit="1" customWidth="1"/>
  </cols>
  <sheetData>
    <row r="1" spans="1:13" x14ac:dyDescent="0.35">
      <c r="B1" s="1">
        <v>45504</v>
      </c>
      <c r="C1" s="1">
        <v>45535</v>
      </c>
      <c r="D1" s="1">
        <v>45565</v>
      </c>
      <c r="E1" s="1">
        <v>45596</v>
      </c>
      <c r="F1" s="1">
        <v>45626</v>
      </c>
      <c r="G1" s="1">
        <v>45657</v>
      </c>
      <c r="H1" s="1">
        <v>45688</v>
      </c>
      <c r="I1" s="1">
        <v>45716</v>
      </c>
      <c r="J1" s="1">
        <v>45747</v>
      </c>
      <c r="K1" s="1">
        <v>45777</v>
      </c>
      <c r="L1" s="1">
        <v>45808</v>
      </c>
      <c r="M1" s="1">
        <v>45838</v>
      </c>
    </row>
    <row r="2" spans="1:13" x14ac:dyDescent="0.35">
      <c r="A2" s="28"/>
    </row>
    <row r="3" spans="1:13" x14ac:dyDescent="0.35">
      <c r="A3" s="4" t="s">
        <v>78</v>
      </c>
      <c r="C3" s="67"/>
      <c r="E3" s="67"/>
      <c r="F3" s="67"/>
      <c r="G3" s="67"/>
      <c r="J3" s="67"/>
      <c r="L3" s="67"/>
      <c r="M3" s="1"/>
    </row>
    <row r="4" spans="1:13" x14ac:dyDescent="0.35">
      <c r="A4" s="4" t="s">
        <v>26</v>
      </c>
      <c r="B4" s="67">
        <v>42010151</v>
      </c>
      <c r="C4" s="67">
        <v>41952904</v>
      </c>
      <c r="D4" s="67">
        <v>42120551</v>
      </c>
      <c r="E4" s="67">
        <v>42241556</v>
      </c>
      <c r="F4" s="67">
        <v>42280502</v>
      </c>
      <c r="G4" s="67">
        <v>42285600</v>
      </c>
      <c r="H4" s="67">
        <v>42484435</v>
      </c>
      <c r="I4" s="67">
        <v>42844924</v>
      </c>
      <c r="J4" s="67">
        <v>42896466</v>
      </c>
      <c r="K4" s="67">
        <v>43456978</v>
      </c>
      <c r="L4" s="67">
        <v>43623835</v>
      </c>
      <c r="M4" s="67">
        <v>43410306</v>
      </c>
    </row>
    <row r="5" spans="1:13" x14ac:dyDescent="0.35">
      <c r="A5" s="4" t="s">
        <v>27</v>
      </c>
      <c r="B5" s="67">
        <v>4861826</v>
      </c>
      <c r="C5" s="67">
        <v>4770703</v>
      </c>
      <c r="D5" s="67">
        <v>4747428</v>
      </c>
      <c r="E5" s="67">
        <v>4771949</v>
      </c>
      <c r="F5" s="67">
        <v>4741636</v>
      </c>
      <c r="G5" s="67">
        <v>4720948</v>
      </c>
      <c r="H5" s="67">
        <v>4655973</v>
      </c>
      <c r="I5" s="67">
        <v>4609115</v>
      </c>
      <c r="J5" s="67">
        <v>4539231</v>
      </c>
      <c r="K5" s="67">
        <v>4409330</v>
      </c>
      <c r="L5" s="67">
        <v>4372296</v>
      </c>
      <c r="M5" s="67">
        <v>4331027</v>
      </c>
    </row>
    <row r="6" spans="1:13" x14ac:dyDescent="0.35">
      <c r="A6" s="5" t="s">
        <v>13</v>
      </c>
      <c r="B6" s="6">
        <f t="shared" ref="B6:M6" si="0">B4+B5</f>
        <v>46871977</v>
      </c>
      <c r="C6" s="6">
        <f t="shared" si="0"/>
        <v>46723607</v>
      </c>
      <c r="D6" s="6">
        <f t="shared" si="0"/>
        <v>46867979</v>
      </c>
      <c r="E6" s="6">
        <f t="shared" si="0"/>
        <v>47013505</v>
      </c>
      <c r="F6" s="6">
        <f t="shared" si="0"/>
        <v>47022138</v>
      </c>
      <c r="G6" s="6">
        <f t="shared" si="0"/>
        <v>47006548</v>
      </c>
      <c r="H6" s="6">
        <f t="shared" si="0"/>
        <v>47140408</v>
      </c>
      <c r="I6" s="6">
        <f t="shared" si="0"/>
        <v>47454039</v>
      </c>
      <c r="J6" s="6">
        <f t="shared" si="0"/>
        <v>47435697</v>
      </c>
      <c r="K6" s="6">
        <f t="shared" si="0"/>
        <v>47866308</v>
      </c>
      <c r="L6" s="6">
        <f t="shared" si="0"/>
        <v>47996131</v>
      </c>
      <c r="M6" s="6">
        <f t="shared" si="0"/>
        <v>47741333</v>
      </c>
    </row>
    <row r="7" spans="1:13" x14ac:dyDescent="0.35">
      <c r="E7" s="67"/>
      <c r="G7" s="67"/>
      <c r="J7" s="67"/>
      <c r="M7" s="1"/>
    </row>
    <row r="8" spans="1:13" x14ac:dyDescent="0.35">
      <c r="A8" s="5" t="s">
        <v>12</v>
      </c>
      <c r="B8" s="15">
        <f>'Assets &amp; Liabilities Data'!B15</f>
        <v>6618972</v>
      </c>
      <c r="C8" s="15">
        <f>'Assets &amp; Liabilities Data'!C15</f>
        <v>6618972</v>
      </c>
      <c r="D8" s="15">
        <f>'Assets &amp; Liabilities Data'!D15</f>
        <v>6618972</v>
      </c>
      <c r="E8" s="15">
        <f>'Assets &amp; Liabilities Data'!E15</f>
        <v>6618972</v>
      </c>
      <c r="F8" s="15">
        <f>'Assets &amp; Liabilities Data'!F15</f>
        <v>8368972</v>
      </c>
      <c r="G8" s="15">
        <f>'Assets &amp; Liabilities Data'!G15</f>
        <v>8368972</v>
      </c>
      <c r="H8" s="15">
        <f>'Assets &amp; Liabilities Data'!H15</f>
        <v>8368972</v>
      </c>
      <c r="I8" s="15">
        <f>'Assets &amp; Liabilities Data'!I15</f>
        <v>8368972</v>
      </c>
      <c r="J8" s="15">
        <f>'Assets &amp; Liabilities Data'!J15</f>
        <v>8368972</v>
      </c>
      <c r="K8" s="15">
        <f>'Assets &amp; Liabilities Data'!K15</f>
        <v>8368972</v>
      </c>
      <c r="L8" s="15">
        <f>'Assets &amp; Liabilities Data'!L15</f>
        <v>8368972</v>
      </c>
      <c r="M8" s="15">
        <f>'Assets &amp; Liabilities Data'!M15</f>
        <v>9139853</v>
      </c>
    </row>
    <row r="10" spans="1:13" x14ac:dyDescent="0.35">
      <c r="B10" s="1">
        <f>B1</f>
        <v>45504</v>
      </c>
      <c r="C10" s="1">
        <f t="shared" ref="C10:M10" si="1">C1</f>
        <v>45535</v>
      </c>
      <c r="D10" s="1">
        <f t="shared" si="1"/>
        <v>45565</v>
      </c>
      <c r="E10" s="1">
        <f t="shared" si="1"/>
        <v>45596</v>
      </c>
      <c r="F10" s="1">
        <f t="shared" si="1"/>
        <v>45626</v>
      </c>
      <c r="G10" s="1">
        <f t="shared" si="1"/>
        <v>45657</v>
      </c>
      <c r="H10" s="1">
        <f t="shared" si="1"/>
        <v>45688</v>
      </c>
      <c r="I10" s="1">
        <f t="shared" si="1"/>
        <v>45716</v>
      </c>
      <c r="J10" s="1">
        <f t="shared" si="1"/>
        <v>45747</v>
      </c>
      <c r="K10" s="1">
        <f t="shared" si="1"/>
        <v>45777</v>
      </c>
      <c r="L10" s="1">
        <f t="shared" si="1"/>
        <v>45808</v>
      </c>
      <c r="M10" s="1">
        <f t="shared" si="1"/>
        <v>45838</v>
      </c>
    </row>
    <row r="11" spans="1:13" x14ac:dyDescent="0.35">
      <c r="A11" s="4" t="s">
        <v>78</v>
      </c>
      <c r="C11" s="67"/>
      <c r="E11" s="67"/>
      <c r="F11" s="67"/>
      <c r="G11" s="67"/>
      <c r="J11" s="67"/>
      <c r="L11" s="67"/>
      <c r="M11" s="1"/>
    </row>
    <row r="12" spans="1:13" x14ac:dyDescent="0.35">
      <c r="A12" s="4" t="s">
        <v>26</v>
      </c>
      <c r="B12" s="67">
        <f>B4</f>
        <v>42010151</v>
      </c>
      <c r="C12" s="67">
        <f t="shared" ref="C12:M12" si="2">C4</f>
        <v>41952904</v>
      </c>
      <c r="D12" s="67">
        <f t="shared" si="2"/>
        <v>42120551</v>
      </c>
      <c r="E12" s="67">
        <f t="shared" si="2"/>
        <v>42241556</v>
      </c>
      <c r="F12" s="67">
        <f t="shared" si="2"/>
        <v>42280502</v>
      </c>
      <c r="G12" s="67">
        <f t="shared" si="2"/>
        <v>42285600</v>
      </c>
      <c r="H12" s="67">
        <f t="shared" si="2"/>
        <v>42484435</v>
      </c>
      <c r="I12" s="67">
        <f t="shared" si="2"/>
        <v>42844924</v>
      </c>
      <c r="J12" s="67">
        <f t="shared" si="2"/>
        <v>42896466</v>
      </c>
      <c r="K12" s="67">
        <f t="shared" si="2"/>
        <v>43456978</v>
      </c>
      <c r="L12" s="67">
        <f t="shared" si="2"/>
        <v>43623835</v>
      </c>
      <c r="M12" s="67">
        <f t="shared" si="2"/>
        <v>43410306</v>
      </c>
    </row>
    <row r="13" spans="1:13" x14ac:dyDescent="0.35">
      <c r="A13" s="4" t="s">
        <v>27</v>
      </c>
      <c r="B13" s="67">
        <f>B5+B8</f>
        <v>11480798</v>
      </c>
      <c r="C13" s="67">
        <f t="shared" ref="C13:L13" si="3">C5+C8</f>
        <v>11389675</v>
      </c>
      <c r="D13" s="67">
        <f t="shared" si="3"/>
        <v>11366400</v>
      </c>
      <c r="E13" s="67">
        <f t="shared" si="3"/>
        <v>11390921</v>
      </c>
      <c r="F13" s="67">
        <f t="shared" si="3"/>
        <v>13110608</v>
      </c>
      <c r="G13" s="67">
        <f t="shared" si="3"/>
        <v>13089920</v>
      </c>
      <c r="H13" s="67">
        <f t="shared" si="3"/>
        <v>13024945</v>
      </c>
      <c r="I13" s="67">
        <f t="shared" si="3"/>
        <v>12978087</v>
      </c>
      <c r="J13" s="67">
        <f t="shared" si="3"/>
        <v>12908203</v>
      </c>
      <c r="K13" s="67">
        <f t="shared" si="3"/>
        <v>12778302</v>
      </c>
      <c r="L13" s="67">
        <f t="shared" si="3"/>
        <v>12741268</v>
      </c>
      <c r="M13" s="67">
        <f>M5+M8</f>
        <v>13470880</v>
      </c>
    </row>
    <row r="14" spans="1:13" x14ac:dyDescent="0.35">
      <c r="A14" s="5" t="s">
        <v>13</v>
      </c>
      <c r="B14" s="6">
        <f t="shared" ref="B14:M14" si="4">B12+B13</f>
        <v>53490949</v>
      </c>
      <c r="C14" s="6">
        <f t="shared" si="4"/>
        <v>53342579</v>
      </c>
      <c r="D14" s="6">
        <f t="shared" si="4"/>
        <v>53486951</v>
      </c>
      <c r="E14" s="6">
        <f t="shared" si="4"/>
        <v>53632477</v>
      </c>
      <c r="F14" s="6">
        <f t="shared" si="4"/>
        <v>55391110</v>
      </c>
      <c r="G14" s="6">
        <f t="shared" si="4"/>
        <v>55375520</v>
      </c>
      <c r="H14" s="6">
        <f t="shared" si="4"/>
        <v>55509380</v>
      </c>
      <c r="I14" s="6">
        <f t="shared" si="4"/>
        <v>55823011</v>
      </c>
      <c r="J14" s="6">
        <f t="shared" si="4"/>
        <v>55804669</v>
      </c>
      <c r="K14" s="6">
        <f t="shared" si="4"/>
        <v>56235280</v>
      </c>
      <c r="L14" s="6">
        <f t="shared" si="4"/>
        <v>56365103</v>
      </c>
      <c r="M14" s="6">
        <f t="shared" si="4"/>
        <v>56881186</v>
      </c>
    </row>
    <row r="16" spans="1:13" x14ac:dyDescent="0.35">
      <c r="A16" s="5" t="s">
        <v>77</v>
      </c>
      <c r="B16" s="20">
        <f>B12</f>
        <v>42010151</v>
      </c>
      <c r="C16" s="20">
        <f t="shared" ref="C16:M16" si="5">C12</f>
        <v>41952904</v>
      </c>
      <c r="D16" s="20">
        <f t="shared" si="5"/>
        <v>42120551</v>
      </c>
      <c r="E16" s="20">
        <f t="shared" si="5"/>
        <v>42241556</v>
      </c>
      <c r="F16" s="20">
        <f t="shared" si="5"/>
        <v>42280502</v>
      </c>
      <c r="G16" s="20">
        <f t="shared" si="5"/>
        <v>42285600</v>
      </c>
      <c r="H16" s="20">
        <f t="shared" si="5"/>
        <v>42484435</v>
      </c>
      <c r="I16" s="20">
        <f t="shared" si="5"/>
        <v>42844924</v>
      </c>
      <c r="J16" s="20">
        <f t="shared" si="5"/>
        <v>42896466</v>
      </c>
      <c r="K16" s="20">
        <f t="shared" si="5"/>
        <v>43456978</v>
      </c>
      <c r="L16" s="20">
        <f t="shared" si="5"/>
        <v>43623835</v>
      </c>
      <c r="M16" s="20">
        <f t="shared" si="5"/>
        <v>43410306</v>
      </c>
    </row>
    <row r="17" spans="1:13" x14ac:dyDescent="0.35">
      <c r="A17" s="28" t="s">
        <v>79</v>
      </c>
      <c r="B17" s="20">
        <f>'Assets &amp; Liabilities Data'!B12</f>
        <v>23980682</v>
      </c>
      <c r="C17" s="20">
        <f>'Assets &amp; Liabilities Data'!C12</f>
        <v>24008639</v>
      </c>
      <c r="D17" s="20">
        <f>'Assets &amp; Liabilities Data'!D12</f>
        <v>24014480</v>
      </c>
      <c r="E17" s="20">
        <f>'Assets &amp; Liabilities Data'!E12</f>
        <v>24087303</v>
      </c>
      <c r="F17" s="20">
        <f>'Assets &amp; Liabilities Data'!F12</f>
        <v>24115702</v>
      </c>
      <c r="G17" s="20">
        <f>'Assets &amp; Liabilities Data'!G12</f>
        <v>24025398</v>
      </c>
      <c r="H17" s="20">
        <f>'Assets &amp; Liabilities Data'!H12</f>
        <v>24105640</v>
      </c>
      <c r="I17" s="20">
        <f>'Assets &amp; Liabilities Data'!I12</f>
        <v>24041111</v>
      </c>
      <c r="J17" s="20">
        <f>'Assets &amp; Liabilities Data'!J12</f>
        <v>24239617</v>
      </c>
      <c r="K17" s="20">
        <f>'Assets &amp; Liabilities Data'!K12</f>
        <v>24146249</v>
      </c>
      <c r="L17" s="20">
        <f>'Assets &amp; Liabilities Data'!L12</f>
        <v>24055563</v>
      </c>
      <c r="M17" s="20">
        <f>'Assets &amp; Liabilities Data'!M12</f>
        <v>23849258</v>
      </c>
    </row>
    <row r="18" spans="1:13" x14ac:dyDescent="0.35">
      <c r="A18" s="28" t="s">
        <v>80</v>
      </c>
    </row>
    <row r="19" spans="1:13" x14ac:dyDescent="0.35">
      <c r="A19" s="28"/>
    </row>
    <row r="20" spans="1:13" x14ac:dyDescent="0.35">
      <c r="A20" s="28" t="s">
        <v>81</v>
      </c>
      <c r="B20" s="27">
        <f>B16-B17+B18</f>
        <v>18029469</v>
      </c>
      <c r="C20" s="27">
        <f t="shared" ref="C20:M20" si="6">C16-C17+C18</f>
        <v>17944265</v>
      </c>
      <c r="D20" s="27">
        <f t="shared" si="6"/>
        <v>18106071</v>
      </c>
      <c r="E20" s="27">
        <f t="shared" si="6"/>
        <v>18154253</v>
      </c>
      <c r="F20" s="27">
        <f t="shared" si="6"/>
        <v>18164800</v>
      </c>
      <c r="G20" s="27">
        <f t="shared" si="6"/>
        <v>18260202</v>
      </c>
      <c r="H20" s="27">
        <f t="shared" si="6"/>
        <v>18378795</v>
      </c>
      <c r="I20" s="27">
        <f t="shared" si="6"/>
        <v>18803813</v>
      </c>
      <c r="J20" s="27">
        <f t="shared" si="6"/>
        <v>18656849</v>
      </c>
      <c r="K20" s="27">
        <f t="shared" si="6"/>
        <v>19310729</v>
      </c>
      <c r="L20" s="27">
        <f t="shared" si="6"/>
        <v>19568272</v>
      </c>
      <c r="M20" s="27">
        <f t="shared" si="6"/>
        <v>19561048</v>
      </c>
    </row>
    <row r="21" spans="1:13" x14ac:dyDescent="0.35">
      <c r="A21" s="28" t="s">
        <v>64</v>
      </c>
      <c r="B21" s="27">
        <f>'Expenses Data Luna'!B6</f>
        <v>3527944.0000000005</v>
      </c>
      <c r="C21" s="27">
        <f>'Expenses Data Luna'!C6</f>
        <v>7578433</v>
      </c>
      <c r="D21" s="27">
        <f>'Expenses Data Luna'!D6</f>
        <v>11653588</v>
      </c>
      <c r="E21" s="27">
        <f>'Expenses Data Luna'!E6</f>
        <v>15477956.000000002</v>
      </c>
      <c r="F21" s="27">
        <f>'Expenses Data Luna'!F6</f>
        <v>19880775.999999996</v>
      </c>
      <c r="G21" s="27">
        <f>'Expenses Data Luna'!G6</f>
        <v>23987981</v>
      </c>
      <c r="H21" s="27">
        <f>'Expenses Data Luna'!H6</f>
        <v>28378364.000000004</v>
      </c>
      <c r="I21" s="27">
        <f>'Expenses Data Luna'!I6</f>
        <v>32275106.000000004</v>
      </c>
      <c r="J21" s="27">
        <f>'Expenses Data Luna'!J6</f>
        <v>36231739.000000007</v>
      </c>
      <c r="K21" s="27">
        <f>'Expenses Data Luna'!K6</f>
        <v>40231310</v>
      </c>
      <c r="L21" s="27">
        <f>'Expenses Data Luna'!L6</f>
        <v>44284397</v>
      </c>
      <c r="M21" s="27">
        <f>'Expenses Data Luna'!M6</f>
        <v>47769248</v>
      </c>
    </row>
    <row r="22" spans="1:13" x14ac:dyDescent="0.35">
      <c r="A22" s="28" t="s">
        <v>82</v>
      </c>
      <c r="B22">
        <v>1</v>
      </c>
      <c r="C22">
        <v>2</v>
      </c>
      <c r="D22">
        <v>3</v>
      </c>
      <c r="E22">
        <v>4</v>
      </c>
      <c r="F22">
        <v>5</v>
      </c>
      <c r="G22">
        <v>6</v>
      </c>
      <c r="H22">
        <v>7</v>
      </c>
      <c r="I22">
        <v>8</v>
      </c>
      <c r="J22">
        <v>9</v>
      </c>
      <c r="K22">
        <v>10</v>
      </c>
      <c r="L22">
        <v>11</v>
      </c>
      <c r="M22">
        <v>12</v>
      </c>
    </row>
    <row r="23" spans="1:13" x14ac:dyDescent="0.35">
      <c r="A23" s="28" t="s">
        <v>83</v>
      </c>
      <c r="B23" s="27">
        <f>B21/B22</f>
        <v>3527944.0000000005</v>
      </c>
      <c r="C23" s="27">
        <f t="shared" ref="C23:M23" si="7">C21/C22</f>
        <v>3789216.5</v>
      </c>
      <c r="D23" s="27">
        <f t="shared" si="7"/>
        <v>3884529.3333333335</v>
      </c>
      <c r="E23" s="27">
        <f t="shared" si="7"/>
        <v>3869489.0000000005</v>
      </c>
      <c r="F23" s="27">
        <f t="shared" si="7"/>
        <v>3976155.1999999993</v>
      </c>
      <c r="G23" s="27">
        <f t="shared" si="7"/>
        <v>3997996.8333333335</v>
      </c>
      <c r="H23" s="27">
        <f t="shared" si="7"/>
        <v>4054052.0000000005</v>
      </c>
      <c r="I23" s="27">
        <f t="shared" si="7"/>
        <v>4034388.2500000005</v>
      </c>
      <c r="J23" s="27">
        <f t="shared" si="7"/>
        <v>4025748.7777777785</v>
      </c>
      <c r="K23" s="27">
        <f t="shared" si="7"/>
        <v>4023131</v>
      </c>
      <c r="L23" s="27">
        <f t="shared" si="7"/>
        <v>4025854.2727272729</v>
      </c>
      <c r="M23" s="27">
        <f t="shared" si="7"/>
        <v>3980770.6666666665</v>
      </c>
    </row>
    <row r="25" spans="1:13" x14ac:dyDescent="0.35">
      <c r="A25" s="28" t="s">
        <v>76</v>
      </c>
      <c r="B25" s="1">
        <f>B10</f>
        <v>45504</v>
      </c>
      <c r="C25" s="1">
        <f t="shared" ref="C25:M25" si="8">C10</f>
        <v>45535</v>
      </c>
      <c r="D25" s="1">
        <f t="shared" si="8"/>
        <v>45565</v>
      </c>
      <c r="E25" s="1">
        <f t="shared" si="8"/>
        <v>45596</v>
      </c>
      <c r="F25" s="1">
        <f t="shared" si="8"/>
        <v>45626</v>
      </c>
      <c r="G25" s="1">
        <f t="shared" si="8"/>
        <v>45657</v>
      </c>
      <c r="H25" s="1">
        <f t="shared" si="8"/>
        <v>45688</v>
      </c>
      <c r="I25" s="1">
        <f t="shared" si="8"/>
        <v>45716</v>
      </c>
      <c r="J25" s="1">
        <f t="shared" si="8"/>
        <v>45747</v>
      </c>
      <c r="K25" s="1">
        <f t="shared" si="8"/>
        <v>45777</v>
      </c>
      <c r="L25" s="1">
        <f t="shared" si="8"/>
        <v>45808</v>
      </c>
      <c r="M25" s="1">
        <f t="shared" si="8"/>
        <v>45838</v>
      </c>
    </row>
    <row r="26" spans="1:13" x14ac:dyDescent="0.35">
      <c r="A26" s="68" t="s">
        <v>84</v>
      </c>
      <c r="B26" s="29">
        <f>B20/B23</f>
        <v>5.1104748261310267</v>
      </c>
      <c r="C26" s="29">
        <f t="shared" ref="C26:M26" si="9">C20/C23</f>
        <v>4.7356135496612559</v>
      </c>
      <c r="D26" s="29">
        <f t="shared" si="9"/>
        <v>4.6610720234832392</v>
      </c>
      <c r="E26" s="29">
        <f t="shared" si="9"/>
        <v>4.6916409376018375</v>
      </c>
      <c r="F26" s="29">
        <f t="shared" si="9"/>
        <v>4.5684333448553529</v>
      </c>
      <c r="G26" s="29">
        <f t="shared" si="9"/>
        <v>4.5673377847014303</v>
      </c>
      <c r="H26" s="29">
        <f t="shared" si="9"/>
        <v>4.5334383969421204</v>
      </c>
      <c r="I26" s="29">
        <f t="shared" si="9"/>
        <v>4.6608833445814239</v>
      </c>
      <c r="J26" s="29">
        <f t="shared" si="9"/>
        <v>4.6343798458031502</v>
      </c>
      <c r="K26" s="29">
        <f t="shared" si="9"/>
        <v>4.7999254809251797</v>
      </c>
      <c r="L26" s="29">
        <f t="shared" si="9"/>
        <v>4.8606508518113047</v>
      </c>
      <c r="M26" s="29">
        <f t="shared" si="9"/>
        <v>4.9138846816261372</v>
      </c>
    </row>
    <row r="35" spans="1:1" x14ac:dyDescent="0.35">
      <c r="A35" t="s">
        <v>123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48C5D-47DB-4404-B986-30584775199C}">
  <sheetPr>
    <tabColor rgb="FF00B050"/>
  </sheetPr>
  <dimension ref="A1:M6"/>
  <sheetViews>
    <sheetView workbookViewId="0">
      <selection activeCell="M30" sqref="M30"/>
    </sheetView>
  </sheetViews>
  <sheetFormatPr defaultColWidth="9.1796875" defaultRowHeight="14.5" x14ac:dyDescent="0.35"/>
  <cols>
    <col min="1" max="1" width="36" bestFit="1" customWidth="1"/>
    <col min="2" max="3" width="14.26953125" bestFit="1" customWidth="1"/>
    <col min="4" max="13" width="15.26953125" bestFit="1" customWidth="1"/>
  </cols>
  <sheetData>
    <row r="1" spans="1:13" x14ac:dyDescent="0.35">
      <c r="A1" s="34" t="s">
        <v>39</v>
      </c>
      <c r="B1" s="1">
        <v>45504</v>
      </c>
      <c r="C1" s="1">
        <v>45535</v>
      </c>
      <c r="D1" s="1">
        <v>45565</v>
      </c>
      <c r="E1" s="1">
        <v>45596</v>
      </c>
      <c r="F1" s="1">
        <v>45626</v>
      </c>
      <c r="G1" s="1">
        <v>45657</v>
      </c>
      <c r="H1" s="1">
        <v>45688</v>
      </c>
      <c r="I1" s="1">
        <v>45716</v>
      </c>
      <c r="J1" s="1">
        <v>45747</v>
      </c>
      <c r="K1" s="1">
        <v>45777</v>
      </c>
      <c r="L1" s="1">
        <v>45808</v>
      </c>
      <c r="M1" s="1">
        <v>45838</v>
      </c>
    </row>
    <row r="2" spans="1:13" x14ac:dyDescent="0.35">
      <c r="A2" s="34" t="s">
        <v>40</v>
      </c>
      <c r="B2" s="67">
        <v>1930703.4735324318</v>
      </c>
      <c r="C2" s="67">
        <v>4062220.3076765621</v>
      </c>
      <c r="D2" s="67">
        <v>6102157.4205972943</v>
      </c>
      <c r="E2" s="67">
        <v>7756078.894129727</v>
      </c>
      <c r="F2" s="67">
        <v>10048187.367662158</v>
      </c>
      <c r="G2" s="67">
        <v>12130680.841194589</v>
      </c>
      <c r="H2" s="134">
        <v>14293757.314727021</v>
      </c>
      <c r="I2" s="67">
        <v>16133101.105870273</v>
      </c>
      <c r="J2" s="67">
        <v>17981842.579402708</v>
      </c>
      <c r="K2" s="67">
        <v>19790435.052935138</v>
      </c>
      <c r="L2" s="67">
        <v>21667361.526467569</v>
      </c>
      <c r="M2" s="67">
        <v>23829994</v>
      </c>
    </row>
    <row r="3" spans="1:13" x14ac:dyDescent="0.35">
      <c r="A3" s="34" t="s">
        <v>41</v>
      </c>
      <c r="B3" s="67">
        <v>1173201.1044089305</v>
      </c>
      <c r="C3" s="67">
        <v>2655756.283932507</v>
      </c>
      <c r="D3" s="67">
        <v>4314075.3132267911</v>
      </c>
      <c r="E3" s="67">
        <v>6047036.4176357221</v>
      </c>
      <c r="F3" s="67">
        <v>7717367.5220446521</v>
      </c>
      <c r="G3" s="67">
        <v>9280810.6264535822</v>
      </c>
      <c r="H3" s="134">
        <v>11079323.730862513</v>
      </c>
      <c r="I3" s="67">
        <v>12767128.582364278</v>
      </c>
      <c r="J3" s="67">
        <v>14423422.686773209</v>
      </c>
      <c r="K3" s="67">
        <v>16174113.791182138</v>
      </c>
      <c r="L3" s="67">
        <v>17913572.895591069</v>
      </c>
      <c r="M3" s="67">
        <v>18814433</v>
      </c>
    </row>
    <row r="4" spans="1:13" x14ac:dyDescent="0.35">
      <c r="A4" s="34" t="s">
        <v>42</v>
      </c>
      <c r="B4" s="67">
        <v>6323.3333472054037</v>
      </c>
      <c r="C4" s="67">
        <v>12786.562085928917</v>
      </c>
      <c r="D4" s="67">
        <v>19448.000041616211</v>
      </c>
      <c r="E4" s="67">
        <v>25949.333388821615</v>
      </c>
      <c r="F4" s="67">
        <v>35551.666736027015</v>
      </c>
      <c r="G4" s="67">
        <v>42238.000083232422</v>
      </c>
      <c r="H4" s="134">
        <v>48854.333430437822</v>
      </c>
      <c r="I4" s="67">
        <v>55323.666611178385</v>
      </c>
      <c r="J4" s="67">
        <v>62011.999958383793</v>
      </c>
      <c r="K4" s="67">
        <v>68543.3333055892</v>
      </c>
      <c r="L4" s="67">
        <v>68633.666652794593</v>
      </c>
      <c r="M4" s="67">
        <v>68473</v>
      </c>
    </row>
    <row r="5" spans="1:13" x14ac:dyDescent="0.35">
      <c r="A5" s="34" t="s">
        <v>43</v>
      </c>
      <c r="B5" s="67">
        <v>417716.08871143253</v>
      </c>
      <c r="C5" s="67">
        <v>847669.84630500199</v>
      </c>
      <c r="D5" s="67">
        <v>1217907.2661342975</v>
      </c>
      <c r="E5" s="67">
        <v>1648891.3548457301</v>
      </c>
      <c r="F5" s="67">
        <v>2079669.4435571625</v>
      </c>
      <c r="G5" s="67">
        <v>2534251.532268595</v>
      </c>
      <c r="H5" s="135">
        <v>2956428.6209800276</v>
      </c>
      <c r="I5" s="67">
        <v>3319552.6451542699</v>
      </c>
      <c r="J5" s="67">
        <v>3764461.7338657025</v>
      </c>
      <c r="K5" s="67">
        <v>4198217.8225771347</v>
      </c>
      <c r="L5" s="67">
        <v>4634828.9112885678</v>
      </c>
      <c r="M5" s="67">
        <v>5056348</v>
      </c>
    </row>
    <row r="6" spans="1:13" x14ac:dyDescent="0.35">
      <c r="A6" s="34" t="s">
        <v>37</v>
      </c>
      <c r="B6" s="27">
        <f>SUM(B2:B5)</f>
        <v>3527944.0000000005</v>
      </c>
      <c r="C6" s="27">
        <f t="shared" ref="C6:M6" si="0">SUM(C2:C5)</f>
        <v>7578433</v>
      </c>
      <c r="D6" s="27">
        <f t="shared" si="0"/>
        <v>11653588</v>
      </c>
      <c r="E6" s="27">
        <f t="shared" si="0"/>
        <v>15477956.000000002</v>
      </c>
      <c r="F6" s="27">
        <f t="shared" si="0"/>
        <v>19880775.999999996</v>
      </c>
      <c r="G6" s="27">
        <f t="shared" si="0"/>
        <v>23987981</v>
      </c>
      <c r="H6" s="27">
        <f t="shared" si="0"/>
        <v>28378364.000000004</v>
      </c>
      <c r="I6" s="27">
        <f t="shared" si="0"/>
        <v>32275106.000000004</v>
      </c>
      <c r="J6" s="27">
        <f t="shared" si="0"/>
        <v>36231739.000000007</v>
      </c>
      <c r="K6" s="27">
        <f t="shared" si="0"/>
        <v>40231310</v>
      </c>
      <c r="L6" s="27">
        <f t="shared" si="0"/>
        <v>44284397</v>
      </c>
      <c r="M6" s="27">
        <f t="shared" si="0"/>
        <v>47769248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30C7-F221-4E37-A73E-480C55802FE4}">
  <sheetPr>
    <tabColor rgb="FF633164"/>
    <pageSetUpPr fitToPage="1"/>
  </sheetPr>
  <dimension ref="A1:AF48"/>
  <sheetViews>
    <sheetView showGridLines="0" showRowColHeaders="0" tabSelected="1" zoomScale="85" zoomScaleNormal="85" workbookViewId="0">
      <selection activeCell="O39" sqref="O39"/>
    </sheetView>
  </sheetViews>
  <sheetFormatPr defaultColWidth="9.1796875" defaultRowHeight="14.5" x14ac:dyDescent="0.35"/>
  <cols>
    <col min="9" max="9" width="4.54296875" customWidth="1"/>
    <col min="12" max="12" width="14.26953125" customWidth="1"/>
    <col min="13" max="13" width="12.7265625" customWidth="1"/>
    <col min="15" max="15" width="9.1796875" customWidth="1"/>
    <col min="16" max="16" width="19.54296875" customWidth="1"/>
    <col min="25" max="25" width="19.54296875" customWidth="1"/>
    <col min="32" max="32" width="10.7265625" customWidth="1"/>
  </cols>
  <sheetData>
    <row r="1" spans="1:32" ht="26" x14ac:dyDescent="0.6">
      <c r="A1" s="158" t="s">
        <v>71</v>
      </c>
      <c r="B1" s="159"/>
      <c r="C1" s="159"/>
      <c r="D1" s="159"/>
      <c r="E1" s="159"/>
      <c r="F1" s="159"/>
      <c r="G1" s="159"/>
      <c r="H1" s="159"/>
      <c r="I1" s="159"/>
      <c r="J1" s="159"/>
      <c r="K1" s="159"/>
      <c r="L1" s="159"/>
      <c r="M1" s="159"/>
      <c r="N1" s="159"/>
      <c r="O1" s="159"/>
      <c r="P1" s="159"/>
      <c r="Q1" s="159"/>
      <c r="R1" s="159"/>
      <c r="S1" s="159"/>
      <c r="T1" s="159"/>
      <c r="U1" s="159"/>
      <c r="V1" s="159"/>
      <c r="W1" s="159"/>
      <c r="X1" s="159"/>
      <c r="Y1" s="159"/>
      <c r="Z1" s="160"/>
      <c r="AA1" s="84"/>
      <c r="AB1" s="85"/>
      <c r="AC1" s="85"/>
      <c r="AD1" s="85"/>
      <c r="AE1" s="85"/>
      <c r="AF1" s="86"/>
    </row>
    <row r="2" spans="1:32" ht="26" x14ac:dyDescent="0.6">
      <c r="A2" s="161" t="s">
        <v>102</v>
      </c>
      <c r="B2" s="162"/>
      <c r="C2" s="162"/>
      <c r="D2" s="162"/>
      <c r="E2" s="162"/>
      <c r="F2" s="162"/>
      <c r="G2" s="162"/>
      <c r="H2" s="162"/>
      <c r="I2" s="162"/>
      <c r="J2" s="162"/>
      <c r="K2" s="162"/>
      <c r="L2" s="162"/>
      <c r="M2" s="162"/>
      <c r="N2" s="162"/>
      <c r="O2" s="162"/>
      <c r="P2" s="162"/>
      <c r="Q2" s="162"/>
      <c r="R2" s="162"/>
      <c r="S2" s="162"/>
      <c r="T2" s="162"/>
      <c r="U2" s="162"/>
      <c r="V2" s="162"/>
      <c r="W2" s="162"/>
      <c r="X2" s="162"/>
      <c r="Y2" s="162"/>
      <c r="Z2" s="163"/>
      <c r="AA2" s="87"/>
      <c r="AB2" s="69"/>
      <c r="AC2" s="69"/>
      <c r="AD2" s="69"/>
      <c r="AE2" s="69"/>
      <c r="AF2" s="88"/>
    </row>
    <row r="3" spans="1:32" x14ac:dyDescent="0.35">
      <c r="A3" s="89"/>
      <c r="B3" s="77"/>
      <c r="C3" s="77"/>
      <c r="D3" s="77"/>
      <c r="E3" s="77"/>
      <c r="F3" s="77"/>
      <c r="G3" s="77"/>
      <c r="H3" s="77"/>
      <c r="I3" s="77"/>
      <c r="J3" s="77"/>
      <c r="K3" s="77"/>
      <c r="L3" s="77"/>
      <c r="M3" s="77"/>
      <c r="N3" s="77"/>
      <c r="O3" s="77"/>
      <c r="P3" s="77"/>
      <c r="Q3" s="77"/>
      <c r="R3" s="77"/>
      <c r="S3" s="77"/>
      <c r="T3" s="77"/>
      <c r="U3" s="77"/>
      <c r="V3" s="77"/>
      <c r="W3" s="77"/>
      <c r="X3" s="77"/>
      <c r="Y3" s="77"/>
      <c r="Z3" s="90"/>
      <c r="AA3" s="87"/>
      <c r="AB3" s="69"/>
      <c r="AC3" s="69"/>
      <c r="AD3" s="69"/>
      <c r="AE3" s="69"/>
      <c r="AF3" s="88"/>
    </row>
    <row r="4" spans="1:32" x14ac:dyDescent="0.35">
      <c r="A4" s="89"/>
      <c r="B4" s="77"/>
      <c r="C4" s="77"/>
      <c r="D4" s="77"/>
      <c r="E4" s="77"/>
      <c r="F4" s="77"/>
      <c r="G4" s="77"/>
      <c r="H4" s="77"/>
      <c r="I4" s="77"/>
      <c r="J4" s="77"/>
      <c r="K4" s="77"/>
      <c r="L4" s="77"/>
      <c r="M4" s="77"/>
      <c r="N4" s="77"/>
      <c r="O4" s="77"/>
      <c r="P4" s="77"/>
      <c r="Q4" s="77"/>
      <c r="R4" s="77"/>
      <c r="S4" s="77"/>
      <c r="T4" s="77"/>
      <c r="U4" s="77"/>
      <c r="V4" s="77"/>
      <c r="W4" s="77"/>
      <c r="X4" s="77"/>
      <c r="Y4" s="77"/>
      <c r="Z4" s="90"/>
      <c r="AA4" s="87"/>
      <c r="AB4" s="69"/>
      <c r="AC4" s="69"/>
      <c r="AD4" s="69"/>
      <c r="AE4" s="69"/>
      <c r="AF4" s="88"/>
    </row>
    <row r="5" spans="1:32" x14ac:dyDescent="0.35">
      <c r="A5" s="89"/>
      <c r="B5" s="77"/>
      <c r="C5" s="77"/>
      <c r="D5" s="77"/>
      <c r="E5" s="77"/>
      <c r="F5" s="77"/>
      <c r="G5" s="77"/>
      <c r="H5" s="77"/>
      <c r="I5" s="77"/>
      <c r="J5" s="77"/>
      <c r="K5" s="77"/>
      <c r="L5" s="77"/>
      <c r="M5" s="77"/>
      <c r="N5" s="77"/>
      <c r="O5" s="77"/>
      <c r="P5" s="77"/>
      <c r="Q5" s="77"/>
      <c r="R5" s="77"/>
      <c r="S5" s="77"/>
      <c r="T5" s="77"/>
      <c r="U5" s="77"/>
      <c r="V5" s="77"/>
      <c r="W5" s="77"/>
      <c r="X5" s="77"/>
      <c r="Y5" s="77"/>
      <c r="Z5" s="90"/>
      <c r="AA5" s="87"/>
      <c r="AB5" s="69"/>
      <c r="AC5" s="69"/>
      <c r="AD5" s="69"/>
      <c r="AE5" s="69"/>
      <c r="AF5" s="88"/>
    </row>
    <row r="6" spans="1:32" x14ac:dyDescent="0.35">
      <c r="A6" s="89"/>
      <c r="B6" s="77"/>
      <c r="C6" s="77"/>
      <c r="D6" s="77"/>
      <c r="E6" s="77"/>
      <c r="F6" s="77"/>
      <c r="G6" s="77"/>
      <c r="H6" s="77"/>
      <c r="I6" s="77"/>
      <c r="J6" s="77"/>
      <c r="K6" s="77"/>
      <c r="L6" s="77"/>
      <c r="M6" s="77"/>
      <c r="N6" s="77"/>
      <c r="O6" s="77"/>
      <c r="P6" s="77"/>
      <c r="Q6" s="77"/>
      <c r="R6" s="77"/>
      <c r="S6" s="77"/>
      <c r="T6" s="77"/>
      <c r="U6" s="77"/>
      <c r="V6" s="77"/>
      <c r="W6" s="77"/>
      <c r="X6" s="77"/>
      <c r="Y6" s="77"/>
      <c r="Z6" s="90"/>
      <c r="AA6" s="87"/>
      <c r="AB6" s="69"/>
      <c r="AC6" s="69"/>
      <c r="AD6" s="69"/>
      <c r="AE6" s="69"/>
      <c r="AF6" s="88"/>
    </row>
    <row r="7" spans="1:32" x14ac:dyDescent="0.35">
      <c r="A7" s="89"/>
      <c r="B7" s="77"/>
      <c r="C7" s="77"/>
      <c r="D7" s="77"/>
      <c r="E7" s="77"/>
      <c r="F7" s="77"/>
      <c r="G7" s="77"/>
      <c r="H7" s="77"/>
      <c r="I7" s="77"/>
      <c r="J7" s="77"/>
      <c r="K7" s="77"/>
      <c r="L7" s="77"/>
      <c r="M7" s="77"/>
      <c r="N7" s="77"/>
      <c r="O7" s="77"/>
      <c r="P7" s="77"/>
      <c r="Q7" s="77"/>
      <c r="R7" s="77"/>
      <c r="S7" s="77"/>
      <c r="T7" s="77"/>
      <c r="U7" s="77"/>
      <c r="V7" s="77"/>
      <c r="W7" s="77"/>
      <c r="X7" s="77"/>
      <c r="Y7" s="77"/>
      <c r="Z7" s="90"/>
      <c r="AA7" s="87"/>
      <c r="AB7" s="69"/>
      <c r="AC7" s="69"/>
      <c r="AD7" s="69"/>
      <c r="AE7" s="69"/>
      <c r="AF7" s="88"/>
    </row>
    <row r="8" spans="1:32" x14ac:dyDescent="0.35">
      <c r="A8" s="89"/>
      <c r="B8" s="77"/>
      <c r="C8" s="77"/>
      <c r="D8" s="77"/>
      <c r="E8" s="77"/>
      <c r="F8" s="77"/>
      <c r="G8" s="77"/>
      <c r="H8" s="77"/>
      <c r="I8" s="77"/>
      <c r="J8" s="77"/>
      <c r="K8" s="77"/>
      <c r="L8" s="77"/>
      <c r="M8" s="77"/>
      <c r="N8" s="77"/>
      <c r="O8" s="77"/>
      <c r="P8" s="77"/>
      <c r="Q8" s="77"/>
      <c r="R8" s="77"/>
      <c r="S8" s="77"/>
      <c r="T8" s="77"/>
      <c r="U8" s="77"/>
      <c r="V8" s="77"/>
      <c r="W8" s="77"/>
      <c r="X8" s="77"/>
      <c r="Y8" s="77"/>
      <c r="Z8" s="90"/>
      <c r="AA8" s="87"/>
      <c r="AB8" s="69"/>
      <c r="AC8" s="69"/>
      <c r="AD8" s="69"/>
      <c r="AE8" s="69"/>
      <c r="AF8" s="88"/>
    </row>
    <row r="9" spans="1:32" x14ac:dyDescent="0.35">
      <c r="A9" s="89"/>
      <c r="B9" s="77"/>
      <c r="C9" s="77"/>
      <c r="D9" s="77"/>
      <c r="E9" s="77"/>
      <c r="F9" s="77"/>
      <c r="G9" s="77"/>
      <c r="H9" s="77"/>
      <c r="I9" s="77"/>
      <c r="J9" s="77"/>
      <c r="K9" s="77"/>
      <c r="L9" s="77"/>
      <c r="M9" s="77"/>
      <c r="N9" s="77"/>
      <c r="O9" s="77"/>
      <c r="P9" s="77"/>
      <c r="Q9" s="77"/>
      <c r="R9" s="77"/>
      <c r="S9" s="77"/>
      <c r="T9" s="77"/>
      <c r="U9" s="77"/>
      <c r="V9" s="77"/>
      <c r="W9" s="77"/>
      <c r="X9" s="77"/>
      <c r="Y9" s="77"/>
      <c r="Z9" s="90"/>
      <c r="AA9" s="87"/>
      <c r="AB9" s="69"/>
      <c r="AC9" s="69"/>
      <c r="AD9" s="69"/>
      <c r="AE9" s="69"/>
      <c r="AF9" s="88"/>
    </row>
    <row r="10" spans="1:32" x14ac:dyDescent="0.35">
      <c r="A10" s="89"/>
      <c r="B10" s="77"/>
      <c r="C10" s="77"/>
      <c r="D10" s="77"/>
      <c r="E10" s="77"/>
      <c r="F10" s="77"/>
      <c r="G10" s="77"/>
      <c r="H10" s="77"/>
      <c r="I10" s="77"/>
      <c r="J10" s="77"/>
      <c r="K10" s="77"/>
      <c r="L10" s="77"/>
      <c r="M10" s="77"/>
      <c r="N10" s="77"/>
      <c r="O10" s="77"/>
      <c r="P10" s="77"/>
      <c r="Q10" s="77"/>
      <c r="R10" s="77"/>
      <c r="S10" s="77"/>
      <c r="T10" s="77"/>
      <c r="U10" s="77"/>
      <c r="V10" s="77"/>
      <c r="W10" s="77"/>
      <c r="X10" s="77"/>
      <c r="Y10" s="77"/>
      <c r="Z10" s="90"/>
      <c r="AA10" s="87"/>
      <c r="AB10" s="69"/>
      <c r="AC10" s="69"/>
      <c r="AD10" s="69"/>
      <c r="AE10" s="69"/>
      <c r="AF10" s="88"/>
    </row>
    <row r="11" spans="1:32" x14ac:dyDescent="0.35">
      <c r="A11" s="89"/>
      <c r="B11" s="77"/>
      <c r="C11" s="77"/>
      <c r="D11" s="77"/>
      <c r="E11" s="150"/>
      <c r="F11" s="77"/>
      <c r="G11" s="77"/>
      <c r="H11" s="77"/>
      <c r="I11" s="77"/>
      <c r="J11" s="77"/>
      <c r="K11" s="77"/>
      <c r="L11" s="77"/>
      <c r="M11" s="77"/>
      <c r="N11" s="77"/>
      <c r="O11" s="77"/>
      <c r="P11" s="77"/>
      <c r="Q11" s="77"/>
      <c r="R11" s="77"/>
      <c r="S11" s="77"/>
      <c r="T11" s="77"/>
      <c r="U11" s="77"/>
      <c r="V11" s="77"/>
      <c r="W11" s="77"/>
      <c r="X11" s="77"/>
      <c r="Y11" s="77"/>
      <c r="Z11" s="90"/>
      <c r="AA11" s="87"/>
      <c r="AB11" s="69"/>
      <c r="AC11" s="69"/>
      <c r="AD11" s="69"/>
      <c r="AE11" s="69"/>
      <c r="AF11" s="88"/>
    </row>
    <row r="12" spans="1:32" x14ac:dyDescent="0.35">
      <c r="A12" s="89"/>
      <c r="B12" s="77"/>
      <c r="C12" s="77"/>
      <c r="D12" s="77"/>
      <c r="E12" s="77"/>
      <c r="F12" s="77"/>
      <c r="G12" s="77"/>
      <c r="H12" s="77"/>
      <c r="I12" s="77"/>
      <c r="J12" s="77"/>
      <c r="K12" s="77"/>
      <c r="L12" s="77"/>
      <c r="M12" s="77"/>
      <c r="N12" s="77"/>
      <c r="O12" s="77"/>
      <c r="P12" s="77"/>
      <c r="Q12" s="77"/>
      <c r="R12" s="77"/>
      <c r="S12" s="77"/>
      <c r="T12" s="77"/>
      <c r="U12" s="77"/>
      <c r="V12" s="77"/>
      <c r="W12" s="77"/>
      <c r="X12" s="77"/>
      <c r="Y12" s="77"/>
      <c r="Z12" s="90"/>
      <c r="AA12" s="87"/>
      <c r="AB12" s="69"/>
      <c r="AC12" s="69"/>
      <c r="AD12" s="69"/>
      <c r="AE12" s="69"/>
      <c r="AF12" s="88"/>
    </row>
    <row r="13" spans="1:32" x14ac:dyDescent="0.35">
      <c r="A13" s="89"/>
      <c r="B13" s="77"/>
      <c r="C13" s="77"/>
      <c r="D13" s="77"/>
      <c r="E13" s="77"/>
      <c r="F13" s="77"/>
      <c r="G13" s="77"/>
      <c r="H13" s="77"/>
      <c r="I13" s="77"/>
      <c r="J13" s="77"/>
      <c r="K13" s="77"/>
      <c r="L13" s="77"/>
      <c r="M13" s="77"/>
      <c r="N13" s="77"/>
      <c r="O13" s="77"/>
      <c r="P13" s="77"/>
      <c r="Q13" s="77"/>
      <c r="R13" s="77"/>
      <c r="S13" s="77"/>
      <c r="T13" s="77"/>
      <c r="U13" s="77"/>
      <c r="V13" s="77"/>
      <c r="W13" s="77"/>
      <c r="X13" s="77"/>
      <c r="Y13" s="77"/>
      <c r="Z13" s="90"/>
      <c r="AA13" s="87"/>
      <c r="AB13" s="69"/>
      <c r="AC13" s="69"/>
      <c r="AD13" s="69"/>
      <c r="AE13" s="69"/>
      <c r="AF13" s="88"/>
    </row>
    <row r="14" spans="1:32" x14ac:dyDescent="0.35">
      <c r="A14" s="89"/>
      <c r="B14" s="77"/>
      <c r="C14" s="77"/>
      <c r="D14" s="77"/>
      <c r="E14" s="77"/>
      <c r="F14" s="77"/>
      <c r="G14" s="77"/>
      <c r="H14" s="77"/>
      <c r="I14" s="77"/>
      <c r="J14" s="77"/>
      <c r="K14" s="77"/>
      <c r="L14" s="77"/>
      <c r="M14" s="77"/>
      <c r="N14" s="77"/>
      <c r="O14" s="77"/>
      <c r="P14" s="77"/>
      <c r="Q14" s="77"/>
      <c r="R14" s="77"/>
      <c r="S14" s="77"/>
      <c r="T14" s="77"/>
      <c r="U14" s="77"/>
      <c r="V14" s="77"/>
      <c r="W14" s="77"/>
      <c r="X14" s="77"/>
      <c r="Y14" s="77"/>
      <c r="Z14" s="90"/>
      <c r="AA14" s="87"/>
      <c r="AB14" s="69"/>
      <c r="AC14" s="69"/>
      <c r="AD14" s="69"/>
      <c r="AE14" s="69"/>
      <c r="AF14" s="88"/>
    </row>
    <row r="15" spans="1:32" x14ac:dyDescent="0.35">
      <c r="A15" s="89"/>
      <c r="B15" s="77"/>
      <c r="C15" s="77"/>
      <c r="D15" s="77"/>
      <c r="E15" s="77"/>
      <c r="F15" s="77"/>
      <c r="G15" s="77"/>
      <c r="H15" s="77"/>
      <c r="I15" s="77"/>
      <c r="J15" s="77"/>
      <c r="K15" s="77"/>
      <c r="L15" s="77"/>
      <c r="M15" s="77"/>
      <c r="N15" s="77"/>
      <c r="O15" s="77"/>
      <c r="P15" s="77"/>
      <c r="Q15" s="77"/>
      <c r="R15" s="77"/>
      <c r="S15" s="77"/>
      <c r="T15" s="77"/>
      <c r="U15" s="77"/>
      <c r="V15" s="77"/>
      <c r="W15" s="77"/>
      <c r="X15" s="77"/>
      <c r="Y15" s="77"/>
      <c r="Z15" s="90"/>
      <c r="AA15" s="87"/>
      <c r="AB15" s="69"/>
      <c r="AC15" s="69"/>
      <c r="AD15" s="69"/>
      <c r="AE15" s="69"/>
      <c r="AF15" s="88"/>
    </row>
    <row r="16" spans="1:32" x14ac:dyDescent="0.35">
      <c r="A16" s="89"/>
      <c r="B16" s="77"/>
      <c r="C16" s="77"/>
      <c r="D16" s="77"/>
      <c r="E16" s="77"/>
      <c r="F16" s="77"/>
      <c r="G16" s="77"/>
      <c r="H16" s="77"/>
      <c r="I16" s="77"/>
      <c r="J16" s="77"/>
      <c r="K16" s="77"/>
      <c r="L16" s="77"/>
      <c r="M16" s="77"/>
      <c r="N16" s="77"/>
      <c r="O16" s="77"/>
      <c r="P16" s="77"/>
      <c r="Q16" s="77"/>
      <c r="R16" s="77"/>
      <c r="S16" s="77"/>
      <c r="T16" s="77"/>
      <c r="U16" s="77"/>
      <c r="V16" s="77"/>
      <c r="W16" s="77"/>
      <c r="X16" s="77"/>
      <c r="Y16" s="77"/>
      <c r="Z16" s="90"/>
      <c r="AA16" s="87"/>
      <c r="AB16" s="69"/>
      <c r="AC16" s="69"/>
      <c r="AD16" s="69"/>
      <c r="AE16" s="69"/>
      <c r="AF16" s="88"/>
    </row>
    <row r="17" spans="1:32" x14ac:dyDescent="0.35">
      <c r="A17" s="89"/>
      <c r="B17" s="77"/>
      <c r="C17" s="77"/>
      <c r="D17" s="77"/>
      <c r="E17" s="77"/>
      <c r="F17" s="77"/>
      <c r="G17" s="77"/>
      <c r="H17" s="77"/>
      <c r="I17" s="77"/>
      <c r="J17" s="77"/>
      <c r="K17" s="77"/>
      <c r="L17" s="77"/>
      <c r="M17" s="77"/>
      <c r="N17" s="77"/>
      <c r="O17" s="77"/>
      <c r="P17" s="77"/>
      <c r="Q17" s="77"/>
      <c r="R17" s="77"/>
      <c r="S17" s="77"/>
      <c r="T17" s="77"/>
      <c r="U17" s="77"/>
      <c r="V17" s="77"/>
      <c r="W17" s="77"/>
      <c r="X17" s="77"/>
      <c r="Y17" s="77"/>
      <c r="Z17" s="90"/>
      <c r="AA17" s="87"/>
      <c r="AB17" s="69"/>
      <c r="AC17" s="69"/>
      <c r="AD17" s="69"/>
      <c r="AE17" s="69"/>
      <c r="AF17" s="88"/>
    </row>
    <row r="18" spans="1:32" x14ac:dyDescent="0.35">
      <c r="A18" s="89"/>
      <c r="B18" s="77"/>
      <c r="C18" s="77"/>
      <c r="D18" s="77"/>
      <c r="E18" s="77"/>
      <c r="F18" s="77"/>
      <c r="G18" s="77"/>
      <c r="H18" s="77"/>
      <c r="I18" s="77"/>
      <c r="J18" s="77"/>
      <c r="K18" s="77"/>
      <c r="L18" s="77"/>
      <c r="M18" s="77"/>
      <c r="N18" s="77"/>
      <c r="O18" s="77"/>
      <c r="P18" s="77"/>
      <c r="Q18" s="77"/>
      <c r="R18" s="77"/>
      <c r="S18" s="77"/>
      <c r="T18" s="77"/>
      <c r="U18" s="77"/>
      <c r="V18" s="77"/>
      <c r="W18" s="77"/>
      <c r="X18" s="77"/>
      <c r="Y18" s="77"/>
      <c r="Z18" s="90"/>
      <c r="AA18" s="87"/>
      <c r="AB18" s="69"/>
      <c r="AC18" s="69"/>
      <c r="AD18" s="69"/>
      <c r="AE18" s="69"/>
      <c r="AF18" s="88"/>
    </row>
    <row r="19" spans="1:32" ht="21" x14ac:dyDescent="0.5">
      <c r="A19" s="89"/>
      <c r="B19" s="77"/>
      <c r="C19" s="77"/>
      <c r="D19" s="77"/>
      <c r="E19" s="77"/>
      <c r="F19" s="77"/>
      <c r="G19" s="77"/>
      <c r="H19" s="77"/>
      <c r="I19" s="77"/>
      <c r="J19" s="77"/>
      <c r="K19" s="77"/>
      <c r="L19" s="77"/>
      <c r="M19" s="77"/>
      <c r="N19" s="77"/>
      <c r="O19" s="77"/>
      <c r="P19" s="77"/>
      <c r="Q19" s="77"/>
      <c r="R19" s="78"/>
      <c r="S19" s="79"/>
      <c r="T19" s="79"/>
      <c r="U19" s="79"/>
      <c r="V19" s="79"/>
      <c r="W19" s="79"/>
      <c r="X19" s="79"/>
      <c r="Y19" s="76"/>
      <c r="Z19" s="90"/>
      <c r="AA19" s="87"/>
      <c r="AB19" s="69"/>
      <c r="AC19" s="69"/>
      <c r="AD19" s="69"/>
      <c r="AE19" s="69"/>
      <c r="AF19" s="88"/>
    </row>
    <row r="20" spans="1:32" x14ac:dyDescent="0.35">
      <c r="A20" s="89"/>
      <c r="B20" s="77"/>
      <c r="C20" s="77"/>
      <c r="D20" s="77"/>
      <c r="E20" s="77"/>
      <c r="F20" s="77"/>
      <c r="G20" s="77"/>
      <c r="H20" s="77"/>
      <c r="I20" s="77"/>
      <c r="J20" s="77"/>
      <c r="K20" s="77"/>
      <c r="L20" s="77"/>
      <c r="M20" s="77"/>
      <c r="N20" s="77"/>
      <c r="O20" s="77"/>
      <c r="P20" s="77"/>
      <c r="Q20" s="77"/>
      <c r="R20" s="77"/>
      <c r="S20" s="77"/>
      <c r="T20" s="77"/>
      <c r="U20" s="77"/>
      <c r="V20" s="77"/>
      <c r="W20" s="77"/>
      <c r="X20" s="77"/>
      <c r="Y20" s="77"/>
      <c r="Z20" s="90"/>
      <c r="AA20" s="87"/>
      <c r="AB20" s="69"/>
      <c r="AC20" s="69"/>
      <c r="AD20" s="69"/>
      <c r="AE20" s="69"/>
      <c r="AF20" s="88"/>
    </row>
    <row r="21" spans="1:32" x14ac:dyDescent="0.35">
      <c r="A21" s="89"/>
      <c r="B21" s="77"/>
      <c r="C21" s="77"/>
      <c r="D21" s="77"/>
      <c r="E21" s="77"/>
      <c r="F21" s="77"/>
      <c r="G21" s="77"/>
      <c r="H21" s="77"/>
      <c r="I21" s="77"/>
      <c r="J21" s="77"/>
      <c r="K21" s="77"/>
      <c r="L21" s="77"/>
      <c r="M21" s="77"/>
      <c r="N21" s="77"/>
      <c r="O21" s="77"/>
      <c r="P21" s="77"/>
      <c r="Q21" s="77"/>
      <c r="R21" s="77"/>
      <c r="S21" s="77"/>
      <c r="T21" s="77"/>
      <c r="U21" s="77"/>
      <c r="V21" s="77"/>
      <c r="W21" s="77"/>
      <c r="X21" s="77"/>
      <c r="Y21" s="77"/>
      <c r="Z21" s="90"/>
      <c r="AA21" s="87"/>
      <c r="AB21" s="69"/>
      <c r="AC21" s="69"/>
      <c r="AD21" s="69"/>
      <c r="AE21" s="69"/>
      <c r="AF21" s="88"/>
    </row>
    <row r="22" spans="1:32" x14ac:dyDescent="0.35">
      <c r="A22" s="89"/>
      <c r="B22" s="77"/>
      <c r="C22" s="77"/>
      <c r="D22" s="77"/>
      <c r="E22" s="77"/>
      <c r="F22" s="77"/>
      <c r="G22" s="77"/>
      <c r="H22" s="77"/>
      <c r="I22" s="77"/>
      <c r="J22" s="77"/>
      <c r="K22" s="77"/>
      <c r="L22" s="77"/>
      <c r="M22" s="77"/>
      <c r="N22" s="77"/>
      <c r="O22" s="77"/>
      <c r="P22" s="77"/>
      <c r="Q22" s="77"/>
      <c r="R22" s="77"/>
      <c r="S22" s="77"/>
      <c r="T22" s="77"/>
      <c r="U22" s="77"/>
      <c r="V22" s="77"/>
      <c r="W22" s="77"/>
      <c r="X22" s="77"/>
      <c r="Y22" s="77"/>
      <c r="Z22" s="90"/>
      <c r="AA22" s="87"/>
      <c r="AB22" s="69"/>
      <c r="AC22" s="69"/>
      <c r="AD22" s="69"/>
      <c r="AE22" s="69"/>
      <c r="AF22" s="88"/>
    </row>
    <row r="23" spans="1:32" x14ac:dyDescent="0.35">
      <c r="A23" s="89"/>
      <c r="B23" s="77"/>
      <c r="C23" s="77"/>
      <c r="D23" s="77"/>
      <c r="E23" s="77"/>
      <c r="F23" s="77"/>
      <c r="G23" s="77"/>
      <c r="H23" s="77"/>
      <c r="I23" s="77"/>
      <c r="J23" s="77"/>
      <c r="K23" s="77"/>
      <c r="L23" s="77"/>
      <c r="M23" s="77"/>
      <c r="N23" s="77"/>
      <c r="O23" s="77"/>
      <c r="P23" s="77"/>
      <c r="Q23" s="77"/>
      <c r="R23" s="77"/>
      <c r="S23" s="77"/>
      <c r="T23" s="77"/>
      <c r="U23" s="77"/>
      <c r="V23" s="77"/>
      <c r="W23" s="77"/>
      <c r="X23" s="77"/>
      <c r="Y23" s="77"/>
      <c r="Z23" s="90"/>
      <c r="AA23" s="87"/>
      <c r="AB23" s="69"/>
      <c r="AC23" s="69"/>
      <c r="AD23" s="69"/>
      <c r="AE23" s="69"/>
      <c r="AF23" s="88"/>
    </row>
    <row r="24" spans="1:32" x14ac:dyDescent="0.35">
      <c r="A24" s="89"/>
      <c r="B24" s="77"/>
      <c r="C24" s="77"/>
      <c r="D24" s="77"/>
      <c r="E24" s="77"/>
      <c r="F24" s="77"/>
      <c r="G24" s="77"/>
      <c r="H24" s="77"/>
      <c r="I24" s="77"/>
      <c r="J24" s="77"/>
      <c r="K24" s="77"/>
      <c r="L24" s="77"/>
      <c r="M24" s="77"/>
      <c r="N24" s="77"/>
      <c r="O24" s="77"/>
      <c r="P24" s="77"/>
      <c r="Q24" s="77"/>
      <c r="R24" s="77"/>
      <c r="S24" s="77"/>
      <c r="T24" s="77"/>
      <c r="U24" s="77"/>
      <c r="V24" s="77"/>
      <c r="W24" s="77"/>
      <c r="X24" s="77"/>
      <c r="Y24" s="77"/>
      <c r="Z24" s="90"/>
      <c r="AA24" s="87"/>
      <c r="AB24" s="69"/>
      <c r="AC24" s="69"/>
      <c r="AD24" s="69"/>
      <c r="AE24" s="69"/>
      <c r="AF24" s="88"/>
    </row>
    <row r="25" spans="1:32" x14ac:dyDescent="0.35">
      <c r="A25" s="89"/>
      <c r="B25" s="77"/>
      <c r="C25" s="77"/>
      <c r="D25" s="77"/>
      <c r="E25" s="77"/>
      <c r="F25" s="77"/>
      <c r="G25" s="77"/>
      <c r="H25" s="77"/>
      <c r="I25" s="77"/>
      <c r="J25" s="77"/>
      <c r="K25" s="77"/>
      <c r="L25" s="77"/>
      <c r="M25" s="77"/>
      <c r="N25" s="77"/>
      <c r="O25" s="77"/>
      <c r="P25" s="77"/>
      <c r="Q25" s="77"/>
      <c r="R25" s="77"/>
      <c r="S25" s="77"/>
      <c r="T25" s="77"/>
      <c r="U25" s="77"/>
      <c r="V25" s="77"/>
      <c r="W25" s="77"/>
      <c r="X25" s="77"/>
      <c r="Y25" s="77"/>
      <c r="Z25" s="90"/>
      <c r="AA25" s="87"/>
      <c r="AB25" s="69"/>
      <c r="AC25" s="69"/>
      <c r="AD25" s="69"/>
      <c r="AE25" s="69"/>
      <c r="AF25" s="88"/>
    </row>
    <row r="26" spans="1:32" x14ac:dyDescent="0.35">
      <c r="A26" s="89"/>
      <c r="B26" s="77"/>
      <c r="C26" s="77"/>
      <c r="D26" s="77"/>
      <c r="E26" s="77"/>
      <c r="F26" s="77"/>
      <c r="G26" s="77"/>
      <c r="H26" s="77"/>
      <c r="I26" s="77"/>
      <c r="J26" s="77"/>
      <c r="K26" s="77"/>
      <c r="L26" s="77"/>
      <c r="M26" s="77"/>
      <c r="N26" s="77"/>
      <c r="O26" s="77"/>
      <c r="P26" s="77"/>
      <c r="Q26" s="77"/>
      <c r="R26" s="77"/>
      <c r="S26" s="77"/>
      <c r="T26" s="77"/>
      <c r="U26" s="77"/>
      <c r="V26" s="77"/>
      <c r="W26" s="77"/>
      <c r="X26" s="77"/>
      <c r="Y26" s="77"/>
      <c r="Z26" s="90"/>
      <c r="AA26" s="87"/>
      <c r="AB26" s="69"/>
      <c r="AC26" s="69"/>
      <c r="AD26" s="69"/>
      <c r="AE26" s="69"/>
      <c r="AF26" s="88"/>
    </row>
    <row r="27" spans="1:32" x14ac:dyDescent="0.35">
      <c r="A27" s="89"/>
      <c r="B27" s="77"/>
      <c r="C27" s="77"/>
      <c r="D27" s="77"/>
      <c r="E27" s="77"/>
      <c r="F27" s="77"/>
      <c r="G27" s="77"/>
      <c r="H27" s="77"/>
      <c r="I27" s="77"/>
      <c r="J27" s="77"/>
      <c r="K27" s="77"/>
      <c r="L27" s="77"/>
      <c r="M27" s="77"/>
      <c r="N27" s="77"/>
      <c r="O27" s="77"/>
      <c r="P27" s="77"/>
      <c r="Q27" s="77"/>
      <c r="R27" s="77"/>
      <c r="S27" s="77"/>
      <c r="T27" s="77"/>
      <c r="U27" s="77"/>
      <c r="V27" s="77"/>
      <c r="W27" s="77"/>
      <c r="X27" s="77"/>
      <c r="Y27" s="77"/>
      <c r="Z27" s="90"/>
      <c r="AA27" s="87"/>
      <c r="AB27" s="69"/>
      <c r="AC27" s="69"/>
      <c r="AD27" s="69"/>
      <c r="AE27" s="69"/>
      <c r="AF27" s="88"/>
    </row>
    <row r="28" spans="1:32" x14ac:dyDescent="0.35">
      <c r="A28" s="89"/>
      <c r="B28" s="77"/>
      <c r="C28" s="77"/>
      <c r="D28" s="77"/>
      <c r="E28" s="77"/>
      <c r="F28" s="77"/>
      <c r="G28" s="77"/>
      <c r="H28" s="77"/>
      <c r="I28" s="77"/>
      <c r="J28" s="77"/>
      <c r="K28" s="77"/>
      <c r="L28" s="77"/>
      <c r="M28" s="77"/>
      <c r="N28" s="77"/>
      <c r="O28" s="77"/>
      <c r="P28" s="77"/>
      <c r="Q28" s="77"/>
      <c r="R28" s="77"/>
      <c r="S28" s="77"/>
      <c r="T28" s="77"/>
      <c r="U28" s="77"/>
      <c r="V28" s="77"/>
      <c r="W28" s="77"/>
      <c r="X28" s="77"/>
      <c r="Y28" s="77"/>
      <c r="Z28" s="90"/>
      <c r="AA28" s="87"/>
      <c r="AB28" s="69"/>
      <c r="AC28" s="69"/>
      <c r="AD28" s="69"/>
      <c r="AE28" s="69"/>
      <c r="AF28" s="88"/>
    </row>
    <row r="29" spans="1:32" x14ac:dyDescent="0.35">
      <c r="A29" s="89"/>
      <c r="B29" s="77"/>
      <c r="C29" s="77"/>
      <c r="D29" s="77"/>
      <c r="E29" s="77"/>
      <c r="F29" s="77"/>
      <c r="G29" s="77"/>
      <c r="H29" s="77"/>
      <c r="I29" s="77"/>
      <c r="J29" s="77"/>
      <c r="K29" s="77"/>
      <c r="L29" s="77"/>
      <c r="M29" s="77"/>
      <c r="N29" s="77"/>
      <c r="O29" s="77"/>
      <c r="P29" s="77"/>
      <c r="Q29" s="77"/>
      <c r="R29" s="77"/>
      <c r="S29" s="77"/>
      <c r="T29" s="77"/>
      <c r="U29" s="77"/>
      <c r="V29" s="77"/>
      <c r="W29" s="77"/>
      <c r="X29" s="77"/>
      <c r="Y29" s="77"/>
      <c r="Z29" s="90"/>
      <c r="AA29" s="87"/>
      <c r="AB29" s="69"/>
      <c r="AC29" s="69"/>
      <c r="AD29" s="69"/>
      <c r="AE29" s="69"/>
      <c r="AF29" s="88"/>
    </row>
    <row r="30" spans="1:32" x14ac:dyDescent="0.35">
      <c r="A30" s="89"/>
      <c r="B30" s="77"/>
      <c r="C30" s="77"/>
      <c r="D30" s="77"/>
      <c r="E30" s="77"/>
      <c r="F30" s="77"/>
      <c r="G30" s="77"/>
      <c r="H30" s="77"/>
      <c r="I30" s="77"/>
      <c r="J30" s="77"/>
      <c r="K30" s="77"/>
      <c r="L30" s="77"/>
      <c r="M30" s="77"/>
      <c r="N30" s="77"/>
      <c r="O30" s="77"/>
      <c r="P30" s="77"/>
      <c r="Q30" s="77"/>
      <c r="R30" s="77"/>
      <c r="S30" s="77"/>
      <c r="T30" s="77"/>
      <c r="U30" s="77"/>
      <c r="V30" s="77"/>
      <c r="W30" s="77"/>
      <c r="X30" s="77"/>
      <c r="Y30" s="77"/>
      <c r="Z30" s="90"/>
      <c r="AA30" s="87"/>
      <c r="AB30" s="69"/>
      <c r="AC30" s="69"/>
      <c r="AD30" s="69"/>
      <c r="AE30" s="69"/>
      <c r="AF30" s="88"/>
    </row>
    <row r="31" spans="1:32" x14ac:dyDescent="0.35">
      <c r="A31" s="89"/>
      <c r="B31" s="77"/>
      <c r="C31" s="77"/>
      <c r="D31" s="77"/>
      <c r="E31" s="77"/>
      <c r="F31" s="77"/>
      <c r="G31" s="77"/>
      <c r="H31" s="77"/>
      <c r="I31" s="77"/>
      <c r="J31" s="77"/>
      <c r="K31" s="77"/>
      <c r="L31" s="77"/>
      <c r="M31" s="77"/>
      <c r="N31" s="77"/>
      <c r="O31" s="77"/>
      <c r="P31" s="77"/>
      <c r="Q31" s="77"/>
      <c r="R31" s="77"/>
      <c r="S31" s="77"/>
      <c r="T31" s="77"/>
      <c r="U31" s="77"/>
      <c r="V31" s="77"/>
      <c r="W31" s="77"/>
      <c r="X31" s="77"/>
      <c r="Y31" s="77"/>
      <c r="Z31" s="90"/>
      <c r="AA31" s="87"/>
      <c r="AB31" s="69"/>
      <c r="AC31" s="69"/>
      <c r="AD31" s="69"/>
      <c r="AE31" s="69"/>
      <c r="AF31" s="88"/>
    </row>
    <row r="32" spans="1:32" x14ac:dyDescent="0.35">
      <c r="A32" s="89"/>
      <c r="B32" s="77"/>
      <c r="C32" s="77"/>
      <c r="D32" s="77"/>
      <c r="E32" s="77"/>
      <c r="F32" s="77"/>
      <c r="G32" s="77"/>
      <c r="H32" s="77"/>
      <c r="I32" s="77"/>
      <c r="J32" s="77"/>
      <c r="K32" s="77"/>
      <c r="L32" s="77"/>
      <c r="M32" s="77"/>
      <c r="N32" s="77"/>
      <c r="O32" s="77"/>
      <c r="P32" s="77"/>
      <c r="Q32" s="77"/>
      <c r="R32" s="77"/>
      <c r="S32" s="77"/>
      <c r="T32" s="77"/>
      <c r="U32" s="77"/>
      <c r="V32" s="77"/>
      <c r="W32" s="77"/>
      <c r="X32" s="77"/>
      <c r="Y32" s="77"/>
      <c r="Z32" s="90"/>
      <c r="AA32" s="87"/>
      <c r="AB32" s="69"/>
      <c r="AC32" s="69"/>
      <c r="AD32" s="69"/>
      <c r="AE32" s="69"/>
      <c r="AF32" s="88"/>
    </row>
    <row r="33" spans="1:32" x14ac:dyDescent="0.35">
      <c r="A33" s="89"/>
      <c r="B33" s="77"/>
      <c r="C33" s="77"/>
      <c r="D33" s="77"/>
      <c r="E33" s="77"/>
      <c r="F33" s="77"/>
      <c r="G33" s="77"/>
      <c r="H33" s="77"/>
      <c r="I33" s="77"/>
      <c r="J33" s="77"/>
      <c r="K33" s="77"/>
      <c r="L33" s="77"/>
      <c r="M33" s="77"/>
      <c r="N33" s="77"/>
      <c r="O33" s="77"/>
      <c r="P33" s="77"/>
      <c r="Q33" s="77"/>
      <c r="R33" s="77"/>
      <c r="S33" s="77"/>
      <c r="T33" s="77"/>
      <c r="U33" s="77"/>
      <c r="V33" s="77"/>
      <c r="W33" s="77"/>
      <c r="X33" s="77"/>
      <c r="Y33" s="77"/>
      <c r="Z33" s="90"/>
      <c r="AA33" s="87"/>
      <c r="AB33" s="69"/>
      <c r="AC33" s="69"/>
      <c r="AD33" s="69"/>
      <c r="AE33" s="69"/>
      <c r="AF33" s="88"/>
    </row>
    <row r="34" spans="1:32" x14ac:dyDescent="0.35">
      <c r="A34" s="89"/>
      <c r="B34" s="77"/>
      <c r="C34" s="77"/>
      <c r="D34" s="77"/>
      <c r="E34" s="77"/>
      <c r="F34" s="77"/>
      <c r="G34" s="77"/>
      <c r="H34" s="77"/>
      <c r="I34" s="77"/>
      <c r="J34" s="77"/>
      <c r="K34" s="77"/>
      <c r="L34" s="77"/>
      <c r="M34" s="77"/>
      <c r="N34" s="77"/>
      <c r="O34" s="77"/>
      <c r="P34" s="77"/>
      <c r="Q34" s="77"/>
      <c r="R34" s="77"/>
      <c r="S34" s="77"/>
      <c r="T34" s="77"/>
      <c r="U34" s="77"/>
      <c r="V34" s="77"/>
      <c r="W34" s="77"/>
      <c r="X34" s="77"/>
      <c r="Y34" s="77"/>
      <c r="Z34" s="90"/>
      <c r="AA34" s="87"/>
      <c r="AB34" s="69"/>
      <c r="AC34" s="69"/>
      <c r="AD34" s="69"/>
      <c r="AE34" s="69"/>
      <c r="AF34" s="88"/>
    </row>
    <row r="35" spans="1:32" ht="21" x14ac:dyDescent="0.5">
      <c r="A35" s="89"/>
      <c r="B35" s="77"/>
      <c r="C35" s="77"/>
      <c r="D35" s="77"/>
      <c r="E35" s="77"/>
      <c r="F35" s="77"/>
      <c r="G35" s="77"/>
      <c r="H35" s="77"/>
      <c r="I35" s="77"/>
      <c r="J35" s="156" t="s">
        <v>142</v>
      </c>
      <c r="K35" s="82"/>
      <c r="L35" s="82"/>
      <c r="M35" s="80"/>
      <c r="N35" s="146"/>
      <c r="O35" s="146"/>
      <c r="P35" s="136">
        <f>'Rev and Expenses by Division'!B6</f>
        <v>49790948</v>
      </c>
      <c r="Q35" s="80"/>
      <c r="R35" s="77"/>
      <c r="S35" s="77"/>
      <c r="T35" s="77"/>
      <c r="U35" s="77"/>
      <c r="V35" s="77"/>
      <c r="W35" s="77"/>
      <c r="X35" s="77"/>
      <c r="Y35" s="77"/>
      <c r="Z35" s="90"/>
      <c r="AA35" s="87"/>
      <c r="AB35" s="69"/>
      <c r="AC35" s="69"/>
      <c r="AD35" s="69"/>
      <c r="AE35" s="69"/>
      <c r="AF35" s="88"/>
    </row>
    <row r="36" spans="1:32" ht="21" x14ac:dyDescent="0.5">
      <c r="A36" s="89"/>
      <c r="B36" s="77"/>
      <c r="C36" s="77"/>
      <c r="D36" s="77"/>
      <c r="E36" s="77"/>
      <c r="F36" s="77"/>
      <c r="G36" s="77"/>
      <c r="H36" s="77"/>
      <c r="I36" s="77"/>
      <c r="J36" s="156" t="s">
        <v>143</v>
      </c>
      <c r="K36" s="82"/>
      <c r="L36" s="82"/>
      <c r="M36" s="80"/>
      <c r="N36" s="146"/>
      <c r="O36" s="146"/>
      <c r="P36" s="136">
        <v>1124057</v>
      </c>
      <c r="Q36" s="80"/>
      <c r="R36" s="77"/>
      <c r="S36" s="77"/>
      <c r="T36" s="77"/>
      <c r="U36" s="77"/>
      <c r="V36" s="77"/>
      <c r="W36" s="77"/>
      <c r="X36" s="77"/>
      <c r="Y36" s="77"/>
      <c r="Z36" s="90"/>
      <c r="AA36" s="87"/>
      <c r="AB36" s="69"/>
      <c r="AC36" s="69"/>
      <c r="AD36" s="69"/>
      <c r="AE36" s="69"/>
      <c r="AF36" s="88"/>
    </row>
    <row r="37" spans="1:32" ht="19.5" x14ac:dyDescent="0.45">
      <c r="A37" s="89"/>
      <c r="B37" s="77"/>
      <c r="C37" s="77"/>
      <c r="D37" s="77"/>
      <c r="E37" s="77"/>
      <c r="F37" s="77"/>
      <c r="G37" s="77"/>
      <c r="H37" s="77"/>
      <c r="I37" s="77"/>
      <c r="J37" s="145"/>
      <c r="K37" s="146"/>
      <c r="L37" s="146"/>
      <c r="M37" s="146"/>
      <c r="N37" s="146"/>
      <c r="O37" s="146"/>
      <c r="P37" s="136"/>
      <c r="Q37" s="80"/>
      <c r="R37" s="77"/>
      <c r="S37" s="77"/>
      <c r="T37" s="77"/>
      <c r="U37" s="77"/>
      <c r="V37" s="77"/>
      <c r="W37" s="77"/>
      <c r="X37" s="77"/>
      <c r="Y37" s="77"/>
      <c r="Z37" s="90"/>
      <c r="AA37" s="87"/>
      <c r="AB37" s="69"/>
      <c r="AC37" s="69"/>
      <c r="AD37" s="69"/>
      <c r="AE37" s="69"/>
      <c r="AF37" s="88"/>
    </row>
    <row r="38" spans="1:32" ht="21" x14ac:dyDescent="0.5">
      <c r="A38" s="89"/>
      <c r="B38" s="77"/>
      <c r="C38" s="77"/>
      <c r="D38" s="77"/>
      <c r="E38" s="77"/>
      <c r="F38" s="77"/>
      <c r="G38" s="77"/>
      <c r="H38" s="77"/>
      <c r="I38" s="77"/>
      <c r="J38" s="156" t="s">
        <v>145</v>
      </c>
      <c r="K38" s="146"/>
      <c r="L38" s="146"/>
      <c r="M38" s="146"/>
      <c r="N38" s="146"/>
      <c r="O38" s="146"/>
      <c r="P38" s="136">
        <f>'Expenses Data'!B7</f>
        <v>47769246</v>
      </c>
      <c r="Q38" s="80"/>
      <c r="R38" s="77"/>
      <c r="S38" s="77"/>
      <c r="T38" s="77"/>
      <c r="U38" s="77"/>
      <c r="V38" s="77"/>
      <c r="W38" s="77"/>
      <c r="X38" s="77"/>
      <c r="Y38" s="77"/>
      <c r="Z38" s="90"/>
      <c r="AA38" s="87"/>
      <c r="AB38" s="69"/>
      <c r="AC38" s="69"/>
      <c r="AD38" s="69"/>
      <c r="AE38" s="69"/>
      <c r="AF38" s="88"/>
    </row>
    <row r="39" spans="1:32" ht="19.5" x14ac:dyDescent="0.45">
      <c r="A39" s="89"/>
      <c r="B39" s="77"/>
      <c r="C39" s="77"/>
      <c r="D39" s="77"/>
      <c r="E39" s="77"/>
      <c r="F39" s="77"/>
      <c r="G39" s="77"/>
      <c r="H39" s="77"/>
      <c r="I39" s="77"/>
      <c r="J39" s="145"/>
      <c r="K39" s="146"/>
      <c r="L39" s="146"/>
      <c r="M39" s="146"/>
      <c r="N39" s="146"/>
      <c r="O39" s="146"/>
      <c r="P39" s="147"/>
      <c r="Q39" s="80"/>
      <c r="R39" s="77"/>
      <c r="S39" s="77"/>
      <c r="T39" s="77"/>
      <c r="U39" s="77"/>
      <c r="V39" s="77"/>
      <c r="W39" s="77"/>
      <c r="X39" s="77"/>
      <c r="Y39" s="77"/>
      <c r="Z39" s="90"/>
      <c r="AA39" s="87"/>
      <c r="AB39" s="69"/>
      <c r="AC39" s="69"/>
      <c r="AD39" s="69"/>
      <c r="AE39" s="69"/>
      <c r="AF39" s="88"/>
    </row>
    <row r="40" spans="1:32" ht="21" x14ac:dyDescent="0.5">
      <c r="A40" s="89"/>
      <c r="B40" s="77"/>
      <c r="C40" s="77"/>
      <c r="D40" s="77"/>
      <c r="E40" s="77"/>
      <c r="F40" s="77"/>
      <c r="G40" s="77"/>
      <c r="H40" s="77"/>
      <c r="I40" s="77"/>
      <c r="J40" s="156" t="s">
        <v>144</v>
      </c>
      <c r="K40" s="146"/>
      <c r="L40" s="146"/>
      <c r="M40" s="146"/>
      <c r="N40" s="146"/>
      <c r="O40" s="146"/>
      <c r="P40" s="147">
        <f>P35+P36-P38</f>
        <v>3145759</v>
      </c>
      <c r="Q40" s="80"/>
      <c r="R40" s="77"/>
      <c r="S40" s="77"/>
      <c r="T40" s="77"/>
      <c r="U40" s="77"/>
      <c r="V40" s="77"/>
      <c r="W40" s="77"/>
      <c r="X40" s="77"/>
      <c r="Y40" s="77"/>
      <c r="Z40" s="90"/>
      <c r="AA40" s="87"/>
      <c r="AB40" s="69"/>
      <c r="AC40" s="69"/>
      <c r="AD40" s="69"/>
      <c r="AE40" s="69"/>
      <c r="AF40" s="88"/>
    </row>
    <row r="41" spans="1:32" ht="19.5" x14ac:dyDescent="0.45">
      <c r="A41" s="89"/>
      <c r="B41" s="77"/>
      <c r="C41" s="77"/>
      <c r="D41" s="77"/>
      <c r="E41" s="77"/>
      <c r="F41" s="77"/>
      <c r="G41" s="77"/>
      <c r="H41" s="77"/>
      <c r="I41" s="77"/>
      <c r="J41" s="157"/>
      <c r="K41" s="146"/>
      <c r="L41" s="146"/>
      <c r="M41" s="146"/>
      <c r="N41" s="146"/>
      <c r="O41" s="146"/>
      <c r="P41" s="147"/>
      <c r="Q41" s="80"/>
      <c r="R41" s="77"/>
      <c r="S41" s="77"/>
      <c r="T41" s="77"/>
      <c r="U41" s="77"/>
      <c r="V41" s="77"/>
      <c r="W41" s="77"/>
      <c r="X41" s="77"/>
      <c r="Y41" s="77"/>
      <c r="Z41" s="90"/>
      <c r="AA41" s="87"/>
      <c r="AB41" s="69"/>
      <c r="AC41" s="69"/>
      <c r="AD41" s="69"/>
      <c r="AE41" s="69"/>
      <c r="AF41" s="88"/>
    </row>
    <row r="42" spans="1:32" ht="21" customHeight="1" x14ac:dyDescent="0.5">
      <c r="A42" s="89"/>
      <c r="B42" s="77"/>
      <c r="C42" s="77"/>
      <c r="D42" s="77"/>
      <c r="E42" s="77"/>
      <c r="F42" s="77"/>
      <c r="G42" s="77"/>
      <c r="H42" s="77"/>
      <c r="I42" s="77"/>
      <c r="J42" s="156" t="s">
        <v>147</v>
      </c>
      <c r="K42" s="82"/>
      <c r="L42" s="82"/>
      <c r="M42" s="80"/>
      <c r="N42" s="77"/>
      <c r="O42" s="77"/>
      <c r="P42" s="148">
        <f>'Admin Ratio'!D17</f>
        <v>0.10584939942321886</v>
      </c>
      <c r="Q42" s="80"/>
      <c r="R42" s="77"/>
      <c r="S42" s="77"/>
      <c r="T42" s="77"/>
      <c r="U42" s="77"/>
      <c r="V42" s="77"/>
      <c r="W42" s="77"/>
      <c r="X42" s="77"/>
      <c r="Y42" s="77"/>
      <c r="Z42" s="90"/>
      <c r="AA42" s="87"/>
      <c r="AB42" s="69"/>
      <c r="AC42" s="69"/>
      <c r="AD42" s="69"/>
      <c r="AE42" s="69"/>
      <c r="AF42" s="88"/>
    </row>
    <row r="43" spans="1:32" ht="21" x14ac:dyDescent="0.5">
      <c r="A43" s="89"/>
      <c r="B43" s="77"/>
      <c r="C43" s="77"/>
      <c r="D43" s="77"/>
      <c r="E43" s="77"/>
      <c r="F43" s="77"/>
      <c r="G43" s="77"/>
      <c r="H43" s="77"/>
      <c r="I43" s="77"/>
      <c r="J43" s="81"/>
      <c r="K43" s="82"/>
      <c r="L43" s="82"/>
      <c r="M43" s="80"/>
      <c r="N43" s="80"/>
      <c r="O43" s="80"/>
      <c r="P43" s="83"/>
      <c r="Q43" s="80"/>
      <c r="R43" s="77"/>
      <c r="S43" s="77"/>
      <c r="T43" s="77"/>
      <c r="U43" s="77"/>
      <c r="V43" s="77"/>
      <c r="W43" s="77"/>
      <c r="X43" s="77"/>
      <c r="Y43" s="77"/>
      <c r="Z43" s="90"/>
      <c r="AA43" s="87"/>
      <c r="AB43" s="69"/>
      <c r="AC43" s="69"/>
      <c r="AD43" s="69"/>
      <c r="AE43" s="69"/>
      <c r="AF43" s="88"/>
    </row>
    <row r="44" spans="1:32" x14ac:dyDescent="0.35">
      <c r="A44" s="89"/>
      <c r="B44" s="77"/>
      <c r="C44" s="77"/>
      <c r="D44" s="77"/>
      <c r="E44" s="77"/>
      <c r="F44" s="77"/>
      <c r="G44" s="77"/>
      <c r="H44" s="77"/>
      <c r="I44" s="77"/>
      <c r="J44" s="80"/>
      <c r="K44" s="80"/>
      <c r="L44" s="80"/>
      <c r="M44" s="80"/>
      <c r="N44" s="80"/>
      <c r="O44" s="80"/>
      <c r="P44" s="80"/>
      <c r="Q44" s="80"/>
      <c r="R44" s="77"/>
      <c r="S44" s="77"/>
      <c r="T44" s="77"/>
      <c r="U44" s="77"/>
      <c r="V44" s="77"/>
      <c r="W44" s="77"/>
      <c r="X44" s="77"/>
      <c r="Y44" s="77"/>
      <c r="Z44" s="90"/>
      <c r="AA44" s="87"/>
      <c r="AB44" s="69"/>
      <c r="AC44" s="69"/>
      <c r="AD44" s="69"/>
      <c r="AE44" s="69"/>
      <c r="AF44" s="88"/>
    </row>
    <row r="45" spans="1:32" x14ac:dyDescent="0.35">
      <c r="A45" s="89"/>
      <c r="B45" s="77"/>
      <c r="C45" s="77"/>
      <c r="D45" s="77"/>
      <c r="E45" s="77"/>
      <c r="F45" s="77"/>
      <c r="G45" s="77"/>
      <c r="H45" s="77"/>
      <c r="I45" s="77"/>
      <c r="J45" s="77"/>
      <c r="K45" s="77"/>
      <c r="L45" s="77"/>
      <c r="M45" s="77"/>
      <c r="N45" s="77"/>
      <c r="O45" s="77"/>
      <c r="P45" s="77"/>
      <c r="Q45" s="80"/>
      <c r="R45" s="77"/>
      <c r="S45" s="77"/>
      <c r="T45" s="77"/>
      <c r="U45" s="77"/>
      <c r="V45" s="77"/>
      <c r="W45" s="77"/>
      <c r="X45" s="77"/>
      <c r="Y45" s="77"/>
      <c r="Z45" s="90"/>
      <c r="AA45" s="87"/>
      <c r="AB45" s="69"/>
      <c r="AC45" s="69"/>
      <c r="AD45" s="69"/>
      <c r="AE45" s="69"/>
      <c r="AF45" s="88"/>
    </row>
    <row r="46" spans="1:32" x14ac:dyDescent="0.35">
      <c r="A46" s="89"/>
      <c r="B46" s="77"/>
      <c r="C46" s="77"/>
      <c r="D46" s="77"/>
      <c r="E46" s="77"/>
      <c r="F46" s="77"/>
      <c r="G46" s="77"/>
      <c r="H46" s="77"/>
      <c r="I46" s="77"/>
      <c r="J46" s="77"/>
      <c r="K46" s="77"/>
      <c r="L46" s="77"/>
      <c r="M46" s="77"/>
      <c r="N46" s="77"/>
      <c r="O46" s="77"/>
      <c r="P46" s="77"/>
      <c r="Q46" s="80"/>
      <c r="R46" s="77"/>
      <c r="S46" s="77"/>
      <c r="T46" s="77"/>
      <c r="U46" s="77"/>
      <c r="V46" s="77"/>
      <c r="W46" s="77"/>
      <c r="X46" s="77"/>
      <c r="Y46" s="77"/>
      <c r="Z46" s="90"/>
      <c r="AA46" s="87"/>
      <c r="AB46" s="69"/>
      <c r="AC46" s="69"/>
      <c r="AD46" s="69"/>
      <c r="AE46" s="69"/>
      <c r="AF46" s="88"/>
    </row>
    <row r="47" spans="1:32" x14ac:dyDescent="0.35">
      <c r="A47" s="89"/>
      <c r="B47" s="77"/>
      <c r="C47" s="77"/>
      <c r="D47" s="77"/>
      <c r="E47" s="77"/>
      <c r="F47" s="77"/>
      <c r="G47" s="77"/>
      <c r="H47" s="77"/>
      <c r="I47" s="77"/>
      <c r="J47" s="77"/>
      <c r="K47" s="77"/>
      <c r="L47" s="77"/>
      <c r="M47" s="77"/>
      <c r="N47" s="77"/>
      <c r="O47" s="77"/>
      <c r="P47" s="77"/>
      <c r="Q47" s="80"/>
      <c r="R47" s="77"/>
      <c r="S47" s="77"/>
      <c r="T47" s="77"/>
      <c r="U47" s="77"/>
      <c r="V47" s="77"/>
      <c r="W47" s="77"/>
      <c r="X47" s="77"/>
      <c r="Y47" s="77"/>
      <c r="Z47" s="90"/>
      <c r="AA47" s="164" t="s">
        <v>89</v>
      </c>
      <c r="AB47" s="165"/>
      <c r="AC47" s="165"/>
      <c r="AD47" s="165"/>
      <c r="AE47" s="165"/>
      <c r="AF47" s="166"/>
    </row>
    <row r="48" spans="1:32" x14ac:dyDescent="0.35">
      <c r="A48" s="91"/>
      <c r="B48" s="92"/>
      <c r="C48" s="92"/>
      <c r="D48" s="92"/>
      <c r="E48" s="92"/>
      <c r="F48" s="77"/>
      <c r="G48" s="77"/>
      <c r="H48" s="77"/>
      <c r="I48" s="77"/>
      <c r="J48" s="77"/>
      <c r="K48" s="77"/>
      <c r="L48" s="77"/>
      <c r="M48" s="77"/>
      <c r="N48" s="77"/>
      <c r="O48" s="77"/>
      <c r="P48" s="77"/>
      <c r="Q48" s="77"/>
      <c r="R48" s="77"/>
      <c r="S48" s="77"/>
      <c r="T48" s="77"/>
      <c r="U48" s="92"/>
      <c r="V48" s="92"/>
      <c r="W48" s="92"/>
      <c r="X48" s="92"/>
      <c r="Y48" s="92"/>
      <c r="Z48" s="93"/>
      <c r="AA48" s="167"/>
      <c r="AB48" s="168"/>
      <c r="AC48" s="168"/>
      <c r="AD48" s="168"/>
      <c r="AE48" s="168"/>
      <c r="AF48" s="169"/>
    </row>
  </sheetData>
  <sheetProtection algorithmName="SHA-512" hashValue="1Y/SRzgP4waJhqxaq+50lP6AcbEAxB6jFE/BnghuhEstdifc4W17cBwlPaJbbF/mh0VK65om/c5X75nN75JwBA==" saltValue="H5G4AKNxUdwbwbKAKZzDyg==" spinCount="100000" sheet="1" objects="1" scenarios="1"/>
  <protectedRanges>
    <protectedRange sqref="AA1:AF1048576" name="Range2"/>
  </protectedRanges>
  <mergeCells count="3">
    <mergeCell ref="A1:Z1"/>
    <mergeCell ref="A2:Z2"/>
    <mergeCell ref="AA47:AF48"/>
  </mergeCells>
  <pageMargins left="0.25" right="0.25" top="0.25" bottom="0.25" header="0.3" footer="0.3"/>
  <pageSetup scale="42" orientation="landscape" verticalDpi="1200"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D905-1712-44E4-BEE2-1F0FB831145D}">
  <sheetPr>
    <tabColor rgb="FF00B050"/>
  </sheetPr>
  <dimension ref="A3:N14"/>
  <sheetViews>
    <sheetView workbookViewId="0">
      <selection activeCell="M8" sqref="M8:M9"/>
    </sheetView>
  </sheetViews>
  <sheetFormatPr defaultRowHeight="14.5" x14ac:dyDescent="0.35"/>
  <cols>
    <col min="1" max="1" width="16.453125" bestFit="1" customWidth="1"/>
    <col min="2" max="13" width="12.1796875" bestFit="1" customWidth="1"/>
    <col min="14" max="14" width="9.453125" customWidth="1"/>
  </cols>
  <sheetData>
    <row r="3" spans="1:14" x14ac:dyDescent="0.35">
      <c r="A3" s="56" t="s">
        <v>76</v>
      </c>
      <c r="B3" s="149" t="s">
        <v>148</v>
      </c>
      <c r="C3" t="s">
        <v>110</v>
      </c>
      <c r="D3" t="s">
        <v>111</v>
      </c>
      <c r="E3" t="s">
        <v>112</v>
      </c>
      <c r="F3" t="s">
        <v>113</v>
      </c>
      <c r="G3" t="s">
        <v>114</v>
      </c>
      <c r="H3" t="s">
        <v>115</v>
      </c>
      <c r="I3" t="s">
        <v>116</v>
      </c>
      <c r="J3" t="s">
        <v>117</v>
      </c>
      <c r="K3" t="s">
        <v>118</v>
      </c>
      <c r="L3" t="s">
        <v>149</v>
      </c>
      <c r="M3" t="s">
        <v>150</v>
      </c>
    </row>
    <row r="4" spans="1:14" x14ac:dyDescent="0.35">
      <c r="A4" s="66" t="s">
        <v>11</v>
      </c>
      <c r="B4" s="32">
        <v>55352664</v>
      </c>
      <c r="C4" s="32">
        <v>55374021</v>
      </c>
      <c r="D4" s="32">
        <v>55563505</v>
      </c>
      <c r="E4" s="32">
        <v>55536381</v>
      </c>
      <c r="F4" s="32">
        <v>56858526</v>
      </c>
      <c r="G4" s="32">
        <v>56946854</v>
      </c>
      <c r="H4" s="32">
        <v>57179465</v>
      </c>
      <c r="I4" s="32">
        <v>57473158</v>
      </c>
      <c r="J4" s="32">
        <v>57657769</v>
      </c>
      <c r="K4" s="32">
        <v>58524098</v>
      </c>
      <c r="L4" s="32">
        <v>58289904</v>
      </c>
      <c r="M4" s="32">
        <v>58918404</v>
      </c>
    </row>
    <row r="5" spans="1:14" x14ac:dyDescent="0.35">
      <c r="A5" s="66" t="s">
        <v>24</v>
      </c>
      <c r="B5" s="32">
        <v>1861715</v>
      </c>
      <c r="C5" s="32">
        <v>2031442</v>
      </c>
      <c r="D5" s="32">
        <v>2076554</v>
      </c>
      <c r="E5" s="32">
        <v>1903904</v>
      </c>
      <c r="F5" s="32">
        <v>1467416</v>
      </c>
      <c r="G5" s="32">
        <v>1571334</v>
      </c>
      <c r="H5" s="32">
        <v>1670085</v>
      </c>
      <c r="I5" s="32">
        <v>1650147</v>
      </c>
      <c r="J5" s="32">
        <v>1853100</v>
      </c>
      <c r="K5" s="32">
        <v>2288818</v>
      </c>
      <c r="L5" s="32">
        <v>1924801</v>
      </c>
      <c r="M5" s="32">
        <v>2037220</v>
      </c>
    </row>
    <row r="6" spans="1:14" x14ac:dyDescent="0.35">
      <c r="A6" s="66" t="s">
        <v>61</v>
      </c>
      <c r="B6" s="32">
        <v>57214379</v>
      </c>
      <c r="C6" s="32">
        <v>57405463</v>
      </c>
      <c r="D6" s="32">
        <v>57640059</v>
      </c>
      <c r="E6" s="32">
        <v>57440285</v>
      </c>
      <c r="F6" s="32">
        <v>58325942</v>
      </c>
      <c r="G6" s="32">
        <v>58518188</v>
      </c>
      <c r="H6" s="32">
        <v>58849550</v>
      </c>
      <c r="I6" s="32">
        <v>59123305</v>
      </c>
      <c r="J6" s="32">
        <v>59510869</v>
      </c>
      <c r="K6" s="32">
        <v>60812916</v>
      </c>
      <c r="L6" s="32">
        <v>60214705</v>
      </c>
      <c r="M6" s="32">
        <v>60955624</v>
      </c>
    </row>
    <row r="7" spans="1:14" x14ac:dyDescent="0.35">
      <c r="J7" s="151">
        <v>2037220</v>
      </c>
      <c r="K7" s="43"/>
      <c r="L7" s="43"/>
      <c r="M7" s="43"/>
    </row>
    <row r="8" spans="1:14" ht="15" thickBot="1" x14ac:dyDescent="0.4">
      <c r="B8" s="143"/>
      <c r="C8" s="143"/>
      <c r="D8" s="143"/>
      <c r="E8" s="143"/>
      <c r="F8" s="143"/>
      <c r="G8" s="143"/>
      <c r="H8" s="143"/>
      <c r="I8" s="143"/>
      <c r="J8" s="151">
        <v>58918404</v>
      </c>
      <c r="K8" s="43"/>
      <c r="L8" s="43"/>
      <c r="M8" s="154">
        <f>GETPIVOTDATA("06/30/25",$A$3)</f>
        <v>60955624</v>
      </c>
      <c r="N8" t="str">
        <f>IF(M8=J7,"Total Liabilities",IF(M8=J8,"Total Assets"," "))</f>
        <v xml:space="preserve"> </v>
      </c>
    </row>
    <row r="9" spans="1:14" ht="15" thickBot="1" x14ac:dyDescent="0.4">
      <c r="A9" s="16"/>
      <c r="B9" s="29"/>
      <c r="C9" s="29"/>
      <c r="D9" s="29"/>
      <c r="E9" s="29"/>
      <c r="F9" s="29"/>
      <c r="G9" s="29"/>
      <c r="H9" s="29"/>
      <c r="I9" s="29"/>
      <c r="J9" s="151"/>
      <c r="K9" s="151"/>
      <c r="L9" s="151"/>
      <c r="M9" s="154" t="str">
        <f>IF(M8=J7,J7,IF(M8=J8,J8,""))</f>
        <v/>
      </c>
    </row>
    <row r="10" spans="1:14" x14ac:dyDescent="0.35">
      <c r="A10" s="5"/>
      <c r="B10" s="29"/>
      <c r="C10" s="29"/>
      <c r="D10" s="29"/>
      <c r="E10" s="29"/>
      <c r="F10" s="29"/>
      <c r="G10" s="29"/>
      <c r="H10" s="29"/>
      <c r="I10" s="29"/>
      <c r="J10" s="29"/>
      <c r="K10" s="29"/>
      <c r="L10" s="29"/>
      <c r="M10" s="29"/>
    </row>
    <row r="11" spans="1:14" x14ac:dyDescent="0.35">
      <c r="B11" s="153"/>
      <c r="C11" s="152"/>
      <c r="D11" s="152"/>
      <c r="E11" s="152"/>
      <c r="F11" s="152"/>
      <c r="G11" s="152"/>
      <c r="H11" s="152"/>
      <c r="I11" s="152"/>
      <c r="J11" s="152"/>
      <c r="K11" s="152"/>
      <c r="L11" s="152"/>
      <c r="M11" s="152"/>
    </row>
    <row r="12" spans="1:14" x14ac:dyDescent="0.35">
      <c r="B12" s="153" t="s">
        <v>148</v>
      </c>
      <c r="C12" s="152" t="s">
        <v>110</v>
      </c>
      <c r="D12" s="152" t="s">
        <v>111</v>
      </c>
      <c r="E12" s="152" t="s">
        <v>112</v>
      </c>
      <c r="F12" s="152" t="s">
        <v>113</v>
      </c>
      <c r="G12" s="152" t="s">
        <v>114</v>
      </c>
      <c r="H12" s="152" t="s">
        <v>115</v>
      </c>
      <c r="I12" s="152" t="s">
        <v>116</v>
      </c>
      <c r="J12" s="152" t="s">
        <v>117</v>
      </c>
      <c r="K12" s="152" t="s">
        <v>118</v>
      </c>
      <c r="L12" s="152" t="s">
        <v>149</v>
      </c>
      <c r="M12" s="152" t="s">
        <v>150</v>
      </c>
    </row>
    <row r="13" spans="1:14" x14ac:dyDescent="0.35">
      <c r="A13" s="66" t="str">
        <f>A4</f>
        <v xml:space="preserve">      Total Assets</v>
      </c>
      <c r="B13" s="155">
        <f t="shared" ref="B13:M13" si="0">B4</f>
        <v>55352664</v>
      </c>
      <c r="C13" s="155">
        <f t="shared" si="0"/>
        <v>55374021</v>
      </c>
      <c r="D13" s="155">
        <f t="shared" si="0"/>
        <v>55563505</v>
      </c>
      <c r="E13" s="155">
        <f t="shared" si="0"/>
        <v>55536381</v>
      </c>
      <c r="F13" s="155">
        <f t="shared" si="0"/>
        <v>56858526</v>
      </c>
      <c r="G13" s="155">
        <f t="shared" si="0"/>
        <v>56946854</v>
      </c>
      <c r="H13" s="155">
        <f t="shared" si="0"/>
        <v>57179465</v>
      </c>
      <c r="I13" s="155">
        <f t="shared" si="0"/>
        <v>57473158</v>
      </c>
      <c r="J13" s="155">
        <f t="shared" si="0"/>
        <v>57657769</v>
      </c>
      <c r="K13" s="155">
        <f t="shared" si="0"/>
        <v>58524098</v>
      </c>
      <c r="L13" s="155">
        <f t="shared" si="0"/>
        <v>58289904</v>
      </c>
      <c r="M13" s="155">
        <f t="shared" si="0"/>
        <v>58918404</v>
      </c>
    </row>
    <row r="14" spans="1:14" x14ac:dyDescent="0.35">
      <c r="A14" s="66"/>
      <c r="B14" s="29"/>
      <c r="C14" s="29"/>
      <c r="D14" s="29"/>
      <c r="E14" s="29"/>
      <c r="F14" s="29"/>
      <c r="G14" s="29"/>
      <c r="H14" s="29"/>
      <c r="I14" s="29"/>
      <c r="J14" s="29"/>
      <c r="K14" s="29"/>
      <c r="L14" s="29"/>
      <c r="M14" s="29"/>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804F6-40B2-4FEC-955C-8969B8438427}">
  <sheetPr>
    <tabColor rgb="FF00B050"/>
  </sheetPr>
  <dimension ref="A1:J19"/>
  <sheetViews>
    <sheetView zoomScale="85" zoomScaleNormal="85" workbookViewId="0">
      <selection activeCell="B37" sqref="B37:M37"/>
    </sheetView>
  </sheetViews>
  <sheetFormatPr defaultColWidth="9.1796875" defaultRowHeight="14.5" x14ac:dyDescent="0.35"/>
  <cols>
    <col min="1" max="1" width="31.81640625" bestFit="1" customWidth="1"/>
    <col min="2" max="3" width="15.26953125" bestFit="1" customWidth="1"/>
    <col min="4" max="4" width="11.54296875" bestFit="1" customWidth="1"/>
    <col min="9" max="9" width="14.7265625" bestFit="1" customWidth="1"/>
    <col min="10" max="10" width="13.26953125" bestFit="1" customWidth="1"/>
  </cols>
  <sheetData>
    <row r="1" spans="1:10" x14ac:dyDescent="0.35">
      <c r="B1" s="1" t="s">
        <v>25</v>
      </c>
    </row>
    <row r="3" spans="1:10" x14ac:dyDescent="0.35">
      <c r="A3" s="4" t="s">
        <v>28</v>
      </c>
      <c r="B3" s="20">
        <f>'Assets &amp; Liabilities Data'!M18</f>
        <v>58918404</v>
      </c>
    </row>
    <row r="4" spans="1:10" x14ac:dyDescent="0.35">
      <c r="A4" s="4" t="s">
        <v>29</v>
      </c>
      <c r="B4" s="20">
        <f>'Assets &amp; Liabilities Data'!M35</f>
        <v>2037220</v>
      </c>
    </row>
    <row r="5" spans="1:10" x14ac:dyDescent="0.35">
      <c r="A5" s="5"/>
    </row>
    <row r="6" spans="1:10" x14ac:dyDescent="0.35">
      <c r="A6" s="28" t="s">
        <v>30</v>
      </c>
      <c r="B6" s="27">
        <f>B3-B4</f>
        <v>56881184</v>
      </c>
    </row>
    <row r="8" spans="1:10" x14ac:dyDescent="0.35">
      <c r="A8" t="s">
        <v>31</v>
      </c>
      <c r="B8" s="29">
        <f>'Assets &amp; Liabilities Data'!M6</f>
        <v>193729.98</v>
      </c>
      <c r="I8" t="s">
        <v>31</v>
      </c>
      <c r="J8" s="31">
        <f>B8</f>
        <v>193729.98</v>
      </c>
    </row>
    <row r="9" spans="1:10" x14ac:dyDescent="0.35">
      <c r="A9" t="s">
        <v>32</v>
      </c>
      <c r="B9" s="29">
        <f>5000000</f>
        <v>5000000</v>
      </c>
      <c r="C9" s="31" t="s">
        <v>98</v>
      </c>
      <c r="I9" t="s">
        <v>104</v>
      </c>
      <c r="J9" s="31">
        <f>B9+B11+B12</f>
        <v>4137296.6699999995</v>
      </c>
    </row>
    <row r="10" spans="1:10" x14ac:dyDescent="0.35">
      <c r="A10" t="s">
        <v>12</v>
      </c>
      <c r="B10" s="29">
        <f>'Assets &amp; Liabilities Data'!M15</f>
        <v>9139853</v>
      </c>
      <c r="I10" t="s">
        <v>37</v>
      </c>
      <c r="J10" s="31">
        <f>SUM(J8:J9)</f>
        <v>4331026.6499999994</v>
      </c>
    </row>
    <row r="11" spans="1:10" x14ac:dyDescent="0.35">
      <c r="A11" t="s">
        <v>33</v>
      </c>
      <c r="B11" s="29">
        <v>182631.35</v>
      </c>
      <c r="C11" s="31" t="s">
        <v>98</v>
      </c>
    </row>
    <row r="12" spans="1:10" x14ac:dyDescent="0.35">
      <c r="A12" t="s">
        <v>34</v>
      </c>
      <c r="B12" s="29">
        <v>-1045334.68</v>
      </c>
      <c r="C12" s="31" t="s">
        <v>98</v>
      </c>
    </row>
    <row r="13" spans="1:10" x14ac:dyDescent="0.35">
      <c r="A13" s="28" t="s">
        <v>35</v>
      </c>
      <c r="B13" s="30">
        <f>SUM(B8:B12)</f>
        <v>13470879.65</v>
      </c>
      <c r="D13" s="31"/>
    </row>
    <row r="16" spans="1:10" x14ac:dyDescent="0.35">
      <c r="A16" s="28" t="s">
        <v>36</v>
      </c>
      <c r="B16" s="28" t="s">
        <v>37</v>
      </c>
    </row>
    <row r="17" spans="1:2" x14ac:dyDescent="0.35">
      <c r="A17" s="4" t="s">
        <v>26</v>
      </c>
      <c r="B17" s="32">
        <f>B6-B13</f>
        <v>43410304.350000001</v>
      </c>
    </row>
    <row r="18" spans="1:2" x14ac:dyDescent="0.35">
      <c r="A18" s="4" t="s">
        <v>27</v>
      </c>
      <c r="B18" s="32">
        <f>B13</f>
        <v>13470879.65</v>
      </c>
    </row>
    <row r="19" spans="1:2" x14ac:dyDescent="0.35">
      <c r="A19" s="28" t="s">
        <v>37</v>
      </c>
      <c r="B19" s="33">
        <f>SUM(B17:B18)</f>
        <v>56881184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74FC-7430-4912-8D0E-16B59BA0AFFF}">
  <sheetPr>
    <tabColor rgb="FF00B050"/>
  </sheetPr>
  <dimension ref="A1:G22"/>
  <sheetViews>
    <sheetView zoomScale="85" zoomScaleNormal="85" workbookViewId="0">
      <selection activeCell="B14" sqref="B14"/>
    </sheetView>
  </sheetViews>
  <sheetFormatPr defaultColWidth="9.1796875" defaultRowHeight="14.5" x14ac:dyDescent="0.35"/>
  <cols>
    <col min="1" max="1" width="55.453125" bestFit="1" customWidth="1"/>
    <col min="2" max="2" width="14.26953125" bestFit="1" customWidth="1"/>
    <col min="3" max="3" width="13.54296875" bestFit="1" customWidth="1"/>
    <col min="4" max="4" width="13.26953125" customWidth="1"/>
    <col min="5" max="5" width="14.453125" bestFit="1" customWidth="1"/>
    <col min="6" max="6" width="44.1796875" bestFit="1" customWidth="1"/>
  </cols>
  <sheetData>
    <row r="1" spans="1:7" ht="25" x14ac:dyDescent="0.35">
      <c r="B1" s="36" t="s">
        <v>44</v>
      </c>
      <c r="C1" s="38" t="s">
        <v>45</v>
      </c>
      <c r="D1" s="38" t="s">
        <v>55</v>
      </c>
      <c r="E1" s="37"/>
    </row>
    <row r="2" spans="1:7" ht="15" thickBot="1" x14ac:dyDescent="0.4">
      <c r="A2" s="35" t="s">
        <v>38</v>
      </c>
      <c r="B2" s="36" t="s">
        <v>46</v>
      </c>
      <c r="C2" s="36" t="s">
        <v>46</v>
      </c>
      <c r="D2" s="36" t="s">
        <v>56</v>
      </c>
      <c r="E2" s="36" t="s">
        <v>37</v>
      </c>
    </row>
    <row r="3" spans="1:7" x14ac:dyDescent="0.35">
      <c r="A3" s="40" t="s">
        <v>47</v>
      </c>
      <c r="B3" s="49">
        <v>1591365</v>
      </c>
      <c r="C3" s="44">
        <v>445643</v>
      </c>
      <c r="D3" s="44">
        <v>1851098</v>
      </c>
      <c r="E3" s="45">
        <f>B3+C3+D3</f>
        <v>3888106</v>
      </c>
      <c r="F3" t="s">
        <v>47</v>
      </c>
    </row>
    <row r="4" spans="1:7" x14ac:dyDescent="0.35">
      <c r="A4" s="41" t="s">
        <v>48</v>
      </c>
      <c r="B4" s="50">
        <v>312485</v>
      </c>
      <c r="C4" s="51"/>
      <c r="D4" s="51"/>
      <c r="E4" s="52">
        <f t="shared" ref="E4:E9" si="0">B4+C4+D4</f>
        <v>312485</v>
      </c>
      <c r="F4" t="s">
        <v>59</v>
      </c>
    </row>
    <row r="5" spans="1:7" x14ac:dyDescent="0.35">
      <c r="A5" s="41" t="s">
        <v>49</v>
      </c>
      <c r="B5" s="50">
        <v>11237958</v>
      </c>
      <c r="C5" s="51"/>
      <c r="D5" s="51"/>
      <c r="E5" s="52">
        <f t="shared" si="0"/>
        <v>11237958</v>
      </c>
      <c r="F5" t="s">
        <v>49</v>
      </c>
    </row>
    <row r="6" spans="1:7" x14ac:dyDescent="0.35">
      <c r="A6" s="41" t="s">
        <v>50</v>
      </c>
      <c r="B6" s="53">
        <v>33836007</v>
      </c>
      <c r="C6" s="51"/>
      <c r="D6" s="51"/>
      <c r="E6" s="52">
        <f t="shared" si="0"/>
        <v>33836007</v>
      </c>
      <c r="F6" t="s">
        <v>60</v>
      </c>
      <c r="G6" s="31"/>
    </row>
    <row r="7" spans="1:7" x14ac:dyDescent="0.35">
      <c r="A7" s="41" t="s">
        <v>51</v>
      </c>
      <c r="B7" s="50">
        <v>512830</v>
      </c>
      <c r="C7" s="51"/>
      <c r="D7" s="51"/>
      <c r="E7" s="52">
        <f t="shared" si="0"/>
        <v>512830</v>
      </c>
      <c r="F7" t="s">
        <v>59</v>
      </c>
    </row>
    <row r="8" spans="1:7" x14ac:dyDescent="0.35">
      <c r="A8" s="41" t="s">
        <v>52</v>
      </c>
      <c r="B8" s="50">
        <v>3562</v>
      </c>
      <c r="C8" s="51"/>
      <c r="D8" s="51"/>
      <c r="E8" s="52">
        <f t="shared" si="0"/>
        <v>3562</v>
      </c>
      <c r="F8" t="s">
        <v>59</v>
      </c>
    </row>
    <row r="9" spans="1:7" ht="15" thickBot="1" x14ac:dyDescent="0.4">
      <c r="A9" s="42" t="s">
        <v>53</v>
      </c>
      <c r="B9" s="54">
        <v>1421852</v>
      </c>
      <c r="C9" s="46">
        <f>B9*-1</f>
        <v>-1421852</v>
      </c>
      <c r="D9" s="46"/>
      <c r="E9" s="47">
        <f t="shared" si="0"/>
        <v>0</v>
      </c>
      <c r="F9" t="s">
        <v>59</v>
      </c>
    </row>
    <row r="10" spans="1:7" x14ac:dyDescent="0.35">
      <c r="A10" s="35" t="s">
        <v>54</v>
      </c>
      <c r="B10" s="39">
        <f>SUM(B3:B9)</f>
        <v>48916059</v>
      </c>
      <c r="C10" s="39">
        <f t="shared" ref="C10:E10" si="1">SUM(C3:C9)</f>
        <v>-976209</v>
      </c>
      <c r="D10" s="39">
        <f t="shared" si="1"/>
        <v>1851098</v>
      </c>
      <c r="E10" s="39">
        <f t="shared" si="1"/>
        <v>49790948</v>
      </c>
    </row>
    <row r="12" spans="1:7" ht="15" thickBot="1" x14ac:dyDescent="0.4">
      <c r="A12" s="35" t="s">
        <v>57</v>
      </c>
    </row>
    <row r="13" spans="1:7" ht="15" thickBot="1" x14ac:dyDescent="0.4">
      <c r="A13" s="96" t="s">
        <v>58</v>
      </c>
      <c r="B13" s="97">
        <v>146722</v>
      </c>
      <c r="C13" s="98">
        <v>977335</v>
      </c>
      <c r="D13" s="98"/>
      <c r="E13" s="99">
        <f>SUM(B13:D13)</f>
        <v>1124057</v>
      </c>
    </row>
    <row r="14" spans="1:7" x14ac:dyDescent="0.35">
      <c r="A14" s="35" t="s">
        <v>57</v>
      </c>
      <c r="B14" s="48">
        <f>B13</f>
        <v>146722</v>
      </c>
      <c r="C14" s="48">
        <f>C13</f>
        <v>977335</v>
      </c>
      <c r="D14" s="48">
        <f>D13</f>
        <v>0</v>
      </c>
      <c r="E14" s="48">
        <f>E13</f>
        <v>1124057</v>
      </c>
    </row>
    <row r="17" spans="1:2" x14ac:dyDescent="0.35">
      <c r="A17" s="55" t="s">
        <v>63</v>
      </c>
      <c r="B17" s="55" t="s">
        <v>37</v>
      </c>
    </row>
    <row r="18" spans="1:2" x14ac:dyDescent="0.35">
      <c r="A18" t="s">
        <v>47</v>
      </c>
      <c r="B18" s="29">
        <f>SUMIF($F$3:$F$9,A18,$E$3:$E$9)</f>
        <v>3888106</v>
      </c>
    </row>
    <row r="19" spans="1:2" x14ac:dyDescent="0.35">
      <c r="A19" t="s">
        <v>59</v>
      </c>
      <c r="B19" s="29">
        <f t="shared" ref="B19" si="2">SUMIF($F$3:$F$9,A19,$E$3:$E$9)</f>
        <v>828877</v>
      </c>
    </row>
    <row r="20" spans="1:2" x14ac:dyDescent="0.35">
      <c r="A20" t="s">
        <v>60</v>
      </c>
      <c r="B20" s="29">
        <f>SUMIF($F$3:$F$13,A20,$E$3:$E$13)</f>
        <v>33836007</v>
      </c>
    </row>
    <row r="21" spans="1:2" x14ac:dyDescent="0.35">
      <c r="A21" t="s">
        <v>49</v>
      </c>
      <c r="B21" s="29">
        <f>SUMIF($F$3:$F$13,A21,$E$3:$E$13)</f>
        <v>11237958</v>
      </c>
    </row>
    <row r="22" spans="1:2" x14ac:dyDescent="0.35">
      <c r="B22" s="29">
        <f>SUM(B18:B21)</f>
        <v>49790948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45B6F-107A-43FF-A757-141FA28DF918}">
  <sheetPr>
    <tabColor rgb="FF00B050"/>
  </sheetPr>
  <dimension ref="A3:B12"/>
  <sheetViews>
    <sheetView workbookViewId="0">
      <selection activeCell="B12" sqref="B12"/>
    </sheetView>
  </sheetViews>
  <sheetFormatPr defaultRowHeight="14.5" x14ac:dyDescent="0.35"/>
  <cols>
    <col min="1" max="1" width="42.08984375" bestFit="1" customWidth="1"/>
    <col min="2" max="2" width="13.81640625" bestFit="1" customWidth="1"/>
    <col min="3" max="4" width="45.453125" bestFit="1" customWidth="1"/>
    <col min="5" max="5" width="11.26953125" bestFit="1" customWidth="1"/>
  </cols>
  <sheetData>
    <row r="3" spans="1:2" x14ac:dyDescent="0.35">
      <c r="A3" s="56" t="s">
        <v>62</v>
      </c>
      <c r="B3" t="s">
        <v>88</v>
      </c>
    </row>
    <row r="4" spans="1:2" x14ac:dyDescent="0.35">
      <c r="A4" s="66" t="s">
        <v>49</v>
      </c>
      <c r="B4" s="31">
        <v>11237958</v>
      </c>
    </row>
    <row r="5" spans="1:2" x14ac:dyDescent="0.35">
      <c r="A5" s="66" t="s">
        <v>47</v>
      </c>
      <c r="B5" s="31">
        <v>3888106</v>
      </c>
    </row>
    <row r="6" spans="1:2" x14ac:dyDescent="0.35">
      <c r="A6" s="66" t="s">
        <v>60</v>
      </c>
      <c r="B6" s="31">
        <v>33836007</v>
      </c>
    </row>
    <row r="7" spans="1:2" x14ac:dyDescent="0.35">
      <c r="A7" s="66" t="s">
        <v>59</v>
      </c>
      <c r="B7" s="31">
        <v>828877</v>
      </c>
    </row>
    <row r="8" spans="1:2" x14ac:dyDescent="0.35">
      <c r="A8" s="66" t="s">
        <v>61</v>
      </c>
      <c r="B8" s="31">
        <v>49790948</v>
      </c>
    </row>
    <row r="10" spans="1:2" x14ac:dyDescent="0.35">
      <c r="A10" s="100" t="s">
        <v>63</v>
      </c>
      <c r="B10" s="65">
        <f>GETPIVOTDATA("Total",$A$3)</f>
        <v>49790948</v>
      </c>
    </row>
    <row r="11" spans="1:2" x14ac:dyDescent="0.35">
      <c r="A11" s="100" t="s">
        <v>99</v>
      </c>
      <c r="B11" s="101">
        <f>B10/'Revenue Data'!$E$10</f>
        <v>1</v>
      </c>
    </row>
    <row r="12" spans="1:2" x14ac:dyDescent="0.35">
      <c r="A12" s="100" t="s">
        <v>100</v>
      </c>
      <c r="B12" s="102">
        <f>B10</f>
        <v>49790948</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65BA-A387-48D4-B9B2-B268137D54FE}">
  <sheetPr>
    <tabColor rgb="FF00B050"/>
  </sheetPr>
  <dimension ref="A2:C12"/>
  <sheetViews>
    <sheetView workbookViewId="0">
      <selection activeCell="L32" sqref="L32"/>
    </sheetView>
  </sheetViews>
  <sheetFormatPr defaultColWidth="9.1796875" defaultRowHeight="14.5" x14ac:dyDescent="0.35"/>
  <cols>
    <col min="1" max="1" width="36" bestFit="1" customWidth="1"/>
    <col min="2" max="2" width="14.26953125" bestFit="1" customWidth="1"/>
    <col min="3" max="3" width="36.54296875" bestFit="1" customWidth="1"/>
  </cols>
  <sheetData>
    <row r="2" spans="1:3" x14ac:dyDescent="0.35">
      <c r="A2" s="34" t="s">
        <v>39</v>
      </c>
    </row>
    <row r="3" spans="1:3" x14ac:dyDescent="0.35">
      <c r="A3" s="34" t="s">
        <v>40</v>
      </c>
      <c r="B3" s="58">
        <v>23829994</v>
      </c>
      <c r="C3" s="34" t="s">
        <v>65</v>
      </c>
    </row>
    <row r="4" spans="1:3" x14ac:dyDescent="0.35">
      <c r="A4" s="34" t="s">
        <v>41</v>
      </c>
      <c r="B4" s="58">
        <v>18814433</v>
      </c>
      <c r="C4" s="34" t="s">
        <v>66</v>
      </c>
    </row>
    <row r="5" spans="1:3" x14ac:dyDescent="0.35">
      <c r="A5" s="34" t="s">
        <v>42</v>
      </c>
      <c r="B5" s="58">
        <v>68473</v>
      </c>
      <c r="C5" s="34" t="s">
        <v>67</v>
      </c>
    </row>
    <row r="6" spans="1:3" x14ac:dyDescent="0.35">
      <c r="A6" s="34" t="s">
        <v>43</v>
      </c>
      <c r="B6" s="59">
        <v>5056346</v>
      </c>
      <c r="C6" s="34" t="s">
        <v>67</v>
      </c>
    </row>
    <row r="7" spans="1:3" x14ac:dyDescent="0.35">
      <c r="A7" s="34" t="s">
        <v>64</v>
      </c>
      <c r="B7" s="43">
        <f>SUM(B3:B6)</f>
        <v>47769246</v>
      </c>
    </row>
    <row r="9" spans="1:3" x14ac:dyDescent="0.35">
      <c r="A9" s="35" t="s">
        <v>68</v>
      </c>
      <c r="B9" s="28" t="s">
        <v>37</v>
      </c>
    </row>
    <row r="10" spans="1:3" x14ac:dyDescent="0.35">
      <c r="A10" s="34" t="s">
        <v>65</v>
      </c>
      <c r="B10" s="29">
        <f>SUMIF($C$3:$C$6,A10,$B$3:$B$6)</f>
        <v>23829994</v>
      </c>
      <c r="C10" s="57">
        <f>B10/B7</f>
        <v>0.49885639811019833</v>
      </c>
    </row>
    <row r="11" spans="1:3" x14ac:dyDescent="0.35">
      <c r="A11" s="34" t="s">
        <v>66</v>
      </c>
      <c r="B11" s="29">
        <f>SUMIF($C$3:$C$6,A11,$B$3:$B$6)</f>
        <v>18814433</v>
      </c>
      <c r="C11" s="57">
        <f>B11/B7</f>
        <v>0.39386079068528734</v>
      </c>
    </row>
    <row r="12" spans="1:3" x14ac:dyDescent="0.35">
      <c r="A12" s="34" t="s">
        <v>67</v>
      </c>
      <c r="B12" s="29">
        <f>SUMIF($C$3:$C$6,A12,$B$3:$B$6)</f>
        <v>5124819</v>
      </c>
      <c r="C12" s="57">
        <f>B12/B7</f>
        <v>0.1072828112045143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6FEF-F0A0-41D4-9AC1-BAC19B3A7484}">
  <sheetPr>
    <tabColor rgb="FF00B050"/>
  </sheetPr>
  <dimension ref="A3:B12"/>
  <sheetViews>
    <sheetView workbookViewId="0">
      <selection activeCell="A11" sqref="A11:A12"/>
    </sheetView>
  </sheetViews>
  <sheetFormatPr defaultRowHeight="14.5" x14ac:dyDescent="0.35"/>
  <cols>
    <col min="1" max="1" width="38.26953125" bestFit="1" customWidth="1"/>
    <col min="2" max="2" width="13.26953125" bestFit="1" customWidth="1"/>
  </cols>
  <sheetData>
    <row r="3" spans="1:2" x14ac:dyDescent="0.35">
      <c r="A3" s="56" t="s">
        <v>62</v>
      </c>
      <c r="B3" t="s">
        <v>88</v>
      </c>
    </row>
    <row r="4" spans="1:2" x14ac:dyDescent="0.35">
      <c r="A4" s="66" t="s">
        <v>67</v>
      </c>
      <c r="B4" s="31">
        <v>5124819</v>
      </c>
    </row>
    <row r="5" spans="1:2" x14ac:dyDescent="0.35">
      <c r="A5" s="66" t="s">
        <v>61</v>
      </c>
      <c r="B5" s="31">
        <v>5124819</v>
      </c>
    </row>
    <row r="10" spans="1:2" x14ac:dyDescent="0.35">
      <c r="A10" s="100" t="s">
        <v>64</v>
      </c>
      <c r="B10" s="65">
        <f>GETPIVOTDATA("Total",$A$3)</f>
        <v>5124819</v>
      </c>
    </row>
    <row r="11" spans="1:2" x14ac:dyDescent="0.35">
      <c r="A11" s="100" t="s">
        <v>101</v>
      </c>
      <c r="B11" s="101">
        <f>B10/'Expenses Data'!$B$7</f>
        <v>0.1072828112045143</v>
      </c>
    </row>
    <row r="12" spans="1:2" x14ac:dyDescent="0.35">
      <c r="A12" s="100" t="s">
        <v>100</v>
      </c>
      <c r="B12" s="102">
        <f>B10</f>
        <v>5124819</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9B43D-25C6-4B9E-84DF-3621883B18F4}">
  <sheetPr>
    <tabColor rgb="FF00B050"/>
  </sheetPr>
  <dimension ref="A2:E26"/>
  <sheetViews>
    <sheetView workbookViewId="0">
      <selection activeCell="B5" sqref="B5"/>
    </sheetView>
  </sheetViews>
  <sheetFormatPr defaultRowHeight="14.5" x14ac:dyDescent="0.35"/>
  <cols>
    <col min="1" max="1" width="36.54296875" bestFit="1" customWidth="1"/>
    <col min="2" max="2" width="14.26953125" bestFit="1" customWidth="1"/>
    <col min="3" max="3" width="28.81640625" bestFit="1" customWidth="1"/>
    <col min="4" max="4" width="15.453125" bestFit="1" customWidth="1"/>
    <col min="5" max="5" width="14" bestFit="1" customWidth="1"/>
  </cols>
  <sheetData>
    <row r="2" spans="1:5" x14ac:dyDescent="0.35">
      <c r="A2" t="s">
        <v>124</v>
      </c>
      <c r="B2" t="s">
        <v>125</v>
      </c>
      <c r="C2" t="s">
        <v>126</v>
      </c>
    </row>
    <row r="3" spans="1:5" x14ac:dyDescent="0.35">
      <c r="A3" s="34" t="s">
        <v>65</v>
      </c>
      <c r="B3" s="29">
        <f>708922+1821280+22929237</f>
        <v>25459439</v>
      </c>
      <c r="C3" s="29">
        <f>685676+1906322+24685303</f>
        <v>27277301</v>
      </c>
    </row>
    <row r="4" spans="1:5" x14ac:dyDescent="0.35">
      <c r="A4" s="34" t="s">
        <v>66</v>
      </c>
      <c r="B4" s="29">
        <f>19807016</f>
        <v>19807016</v>
      </c>
      <c r="C4" s="29">
        <v>19376717</v>
      </c>
    </row>
    <row r="5" spans="1:5" x14ac:dyDescent="0.35">
      <c r="A5" s="34" t="s">
        <v>67</v>
      </c>
      <c r="B5" s="29">
        <f>3057678+1396817-2+70000</f>
        <v>4524493</v>
      </c>
      <c r="C5" s="29">
        <f>1046758-1+68473</f>
        <v>1115230</v>
      </c>
    </row>
    <row r="6" spans="1:5" x14ac:dyDescent="0.35">
      <c r="B6" s="31">
        <f>SUM(B3:B5)</f>
        <v>49790948</v>
      </c>
      <c r="C6" s="31">
        <f>SUM(C3:C5)</f>
        <v>47769248</v>
      </c>
    </row>
    <row r="8" spans="1:5" x14ac:dyDescent="0.35">
      <c r="A8" s="34" t="s">
        <v>127</v>
      </c>
    </row>
    <row r="11" spans="1:5" x14ac:dyDescent="0.35">
      <c r="A11" t="s">
        <v>124</v>
      </c>
      <c r="C11" t="s">
        <v>129</v>
      </c>
      <c r="D11" t="s">
        <v>128</v>
      </c>
    </row>
    <row r="12" spans="1:5" x14ac:dyDescent="0.35">
      <c r="A12" s="34" t="s">
        <v>65</v>
      </c>
      <c r="B12" t="s">
        <v>125</v>
      </c>
      <c r="C12" s="31">
        <f>B3</f>
        <v>25459439</v>
      </c>
      <c r="D12" s="31">
        <v>25459439</v>
      </c>
      <c r="E12" s="31"/>
    </row>
    <row r="13" spans="1:5" x14ac:dyDescent="0.35">
      <c r="A13" s="34" t="s">
        <v>66</v>
      </c>
      <c r="B13" t="s">
        <v>125</v>
      </c>
      <c r="C13" s="31">
        <f>B4</f>
        <v>19807016</v>
      </c>
      <c r="D13" s="31">
        <v>19807016</v>
      </c>
      <c r="E13" s="31"/>
    </row>
    <row r="14" spans="1:5" x14ac:dyDescent="0.35">
      <c r="A14" s="34" t="s">
        <v>67</v>
      </c>
      <c r="B14" t="s">
        <v>125</v>
      </c>
      <c r="C14" s="31">
        <f>B5</f>
        <v>4524493</v>
      </c>
      <c r="D14" s="31">
        <v>4524493</v>
      </c>
      <c r="E14" s="31"/>
    </row>
    <row r="15" spans="1:5" x14ac:dyDescent="0.35">
      <c r="A15" s="34" t="s">
        <v>65</v>
      </c>
      <c r="B15" t="s">
        <v>39</v>
      </c>
      <c r="C15" s="31">
        <f>C3</f>
        <v>27277301</v>
      </c>
      <c r="D15" s="29">
        <f>23829994</f>
        <v>23829994</v>
      </c>
      <c r="E15" s="31">
        <f>C15-D15</f>
        <v>3447307</v>
      </c>
    </row>
    <row r="16" spans="1:5" x14ac:dyDescent="0.35">
      <c r="A16" s="34" t="s">
        <v>66</v>
      </c>
      <c r="B16" t="s">
        <v>39</v>
      </c>
      <c r="C16" s="31">
        <f>C4</f>
        <v>19376717</v>
      </c>
      <c r="D16" s="29">
        <f>18814433</f>
        <v>18814433</v>
      </c>
      <c r="E16" s="31">
        <f t="shared" ref="E16:E17" si="0">C16-D16</f>
        <v>562284</v>
      </c>
    </row>
    <row r="17" spans="1:5" x14ac:dyDescent="0.35">
      <c r="A17" s="34" t="s">
        <v>67</v>
      </c>
      <c r="B17" t="s">
        <v>39</v>
      </c>
      <c r="C17" s="31">
        <f>C5-2</f>
        <v>1115228</v>
      </c>
      <c r="D17" s="29">
        <f>68473+5056346</f>
        <v>5124819</v>
      </c>
      <c r="E17" s="31">
        <f t="shared" si="0"/>
        <v>-4009591</v>
      </c>
    </row>
    <row r="18" spans="1:5" x14ac:dyDescent="0.35">
      <c r="C18" s="31">
        <f>C15+C16+C17</f>
        <v>47769246</v>
      </c>
      <c r="D18" s="31">
        <f>D15+D16+D17</f>
        <v>47769246</v>
      </c>
    </row>
    <row r="20" spans="1:5" x14ac:dyDescent="0.35">
      <c r="A20" t="s">
        <v>124</v>
      </c>
      <c r="B20" t="s">
        <v>76</v>
      </c>
      <c r="C20" t="s">
        <v>130</v>
      </c>
    </row>
    <row r="21" spans="1:5" x14ac:dyDescent="0.35">
      <c r="A21" s="34" t="s">
        <v>65</v>
      </c>
      <c r="B21" t="s">
        <v>125</v>
      </c>
      <c r="C21" s="31">
        <f>D12</f>
        <v>25459439</v>
      </c>
    </row>
    <row r="22" spans="1:5" x14ac:dyDescent="0.35">
      <c r="A22" s="34" t="s">
        <v>66</v>
      </c>
      <c r="B22" t="s">
        <v>125</v>
      </c>
      <c r="C22" s="31">
        <f t="shared" ref="C22:C26" si="1">D13</f>
        <v>19807016</v>
      </c>
    </row>
    <row r="23" spans="1:5" x14ac:dyDescent="0.35">
      <c r="A23" s="34" t="s">
        <v>67</v>
      </c>
      <c r="B23" t="s">
        <v>125</v>
      </c>
      <c r="C23" s="31">
        <f t="shared" si="1"/>
        <v>4524493</v>
      </c>
    </row>
    <row r="24" spans="1:5" x14ac:dyDescent="0.35">
      <c r="A24" s="34" t="s">
        <v>65</v>
      </c>
      <c r="B24" t="s">
        <v>39</v>
      </c>
      <c r="C24" s="31">
        <f t="shared" si="1"/>
        <v>23829994</v>
      </c>
    </row>
    <row r="25" spans="1:5" x14ac:dyDescent="0.35">
      <c r="A25" s="34" t="s">
        <v>66</v>
      </c>
      <c r="B25" t="s">
        <v>39</v>
      </c>
      <c r="C25" s="31">
        <f t="shared" si="1"/>
        <v>18814433</v>
      </c>
    </row>
    <row r="26" spans="1:5" x14ac:dyDescent="0.35">
      <c r="A26" s="34" t="s">
        <v>67</v>
      </c>
      <c r="B26" t="s">
        <v>39</v>
      </c>
      <c r="C26" s="31">
        <f t="shared" si="1"/>
        <v>5124819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11CF-3AFB-4B89-A559-3B7132EB050E}">
  <sheetPr>
    <tabColor rgb="FF00B050"/>
  </sheetPr>
  <dimension ref="A3:D21"/>
  <sheetViews>
    <sheetView workbookViewId="0">
      <selection activeCell="G27" sqref="G27"/>
    </sheetView>
  </sheetViews>
  <sheetFormatPr defaultRowHeight="14.5" x14ac:dyDescent="0.35"/>
  <cols>
    <col min="1" max="1" width="36.54296875" bestFit="1" customWidth="1"/>
    <col min="2" max="2" width="16.1796875" bestFit="1" customWidth="1"/>
    <col min="3" max="4" width="13.81640625" bestFit="1" customWidth="1"/>
  </cols>
  <sheetData>
    <row r="3" spans="1:4" x14ac:dyDescent="0.35">
      <c r="A3" s="56" t="s">
        <v>132</v>
      </c>
      <c r="B3" s="56" t="s">
        <v>131</v>
      </c>
    </row>
    <row r="4" spans="1:4" x14ac:dyDescent="0.35">
      <c r="A4" s="56" t="s">
        <v>62</v>
      </c>
      <c r="B4" t="s">
        <v>125</v>
      </c>
      <c r="C4" t="s">
        <v>39</v>
      </c>
      <c r="D4" t="s">
        <v>61</v>
      </c>
    </row>
    <row r="5" spans="1:4" x14ac:dyDescent="0.35">
      <c r="A5" s="66" t="s">
        <v>66</v>
      </c>
      <c r="B5" s="31">
        <v>19807016</v>
      </c>
      <c r="C5" s="31">
        <v>18814433</v>
      </c>
      <c r="D5" s="31">
        <v>38621449</v>
      </c>
    </row>
    <row r="6" spans="1:4" x14ac:dyDescent="0.35">
      <c r="A6" s="66" t="s">
        <v>65</v>
      </c>
      <c r="B6" s="31">
        <v>25459439</v>
      </c>
      <c r="C6" s="31">
        <v>23829994</v>
      </c>
      <c r="D6" s="31">
        <v>49289433</v>
      </c>
    </row>
    <row r="7" spans="1:4" x14ac:dyDescent="0.35">
      <c r="A7" s="66" t="s">
        <v>67</v>
      </c>
      <c r="B7" s="31">
        <v>4524493</v>
      </c>
      <c r="C7" s="31">
        <v>5124819</v>
      </c>
      <c r="D7" s="31">
        <v>9649312</v>
      </c>
    </row>
    <row r="8" spans="1:4" x14ac:dyDescent="0.35">
      <c r="A8" s="66" t="s">
        <v>61</v>
      </c>
      <c r="B8" s="31">
        <v>49790948</v>
      </c>
      <c r="C8" s="31">
        <v>47769246</v>
      </c>
      <c r="D8" s="31">
        <v>97560194</v>
      </c>
    </row>
    <row r="11" spans="1:4" x14ac:dyDescent="0.35">
      <c r="A11" s="66" t="s">
        <v>125</v>
      </c>
      <c r="B11" s="29">
        <f>GETPIVOTDATA("Totals",$A$3,"Category","Revenue")</f>
        <v>49790948</v>
      </c>
    </row>
    <row r="12" spans="1:4" x14ac:dyDescent="0.35">
      <c r="A12" s="66" t="s">
        <v>39</v>
      </c>
      <c r="B12" s="29">
        <f>GETPIVOTDATA("Totals",$A$3,"Category","Expenses")</f>
        <v>47769246</v>
      </c>
    </row>
    <row r="14" spans="1:4" x14ac:dyDescent="0.35">
      <c r="A14" t="s">
        <v>133</v>
      </c>
      <c r="B14" s="31">
        <v>992583</v>
      </c>
    </row>
    <row r="15" spans="1:4" x14ac:dyDescent="0.35">
      <c r="A15" t="s">
        <v>134</v>
      </c>
      <c r="B15" s="31">
        <v>1629445</v>
      </c>
    </row>
    <row r="16" spans="1:4" x14ac:dyDescent="0.35">
      <c r="A16" t="s">
        <v>67</v>
      </c>
      <c r="B16" s="31">
        <v>-600326</v>
      </c>
    </row>
    <row r="19" spans="1:2" x14ac:dyDescent="0.35">
      <c r="A19" s="137" t="s">
        <v>39</v>
      </c>
      <c r="B19" s="138">
        <f>B12</f>
        <v>47769246</v>
      </c>
    </row>
    <row r="20" spans="1:2" x14ac:dyDescent="0.35">
      <c r="A20" s="139" t="s">
        <v>135</v>
      </c>
      <c r="B20" s="140">
        <f>B19/'Rev and Expenses by Division'!$C$18</f>
        <v>1</v>
      </c>
    </row>
    <row r="21" spans="1:2" x14ac:dyDescent="0.35">
      <c r="A21" s="139" t="s">
        <v>100</v>
      </c>
      <c r="B21" s="102">
        <f>B19</f>
        <v>47769246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Assets &amp; Liabilities Data</vt:lpstr>
      <vt:lpstr>PV A &amp; L</vt:lpstr>
      <vt:lpstr>Net Assets</vt:lpstr>
      <vt:lpstr>Revenue Data</vt:lpstr>
      <vt:lpstr>Revenue PV</vt:lpstr>
      <vt:lpstr>Expenses Data</vt:lpstr>
      <vt:lpstr>Expenses PV</vt:lpstr>
      <vt:lpstr>Rev and Expenses by Division</vt:lpstr>
      <vt:lpstr>Rev and Exp PV</vt:lpstr>
      <vt:lpstr>Admin Ratio</vt:lpstr>
      <vt:lpstr>Cash Analysis</vt:lpstr>
      <vt:lpstr>Pv Cash</vt:lpstr>
      <vt:lpstr>Months of Unrestricted Cash</vt:lpstr>
      <vt:lpstr>Luna Analysis</vt:lpstr>
      <vt:lpstr>Expenses Data Luna</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Lasso</dc:creator>
  <cp:lastModifiedBy>Iani Carvalho</cp:lastModifiedBy>
  <cp:lastPrinted>2026-03-10T19:44:01Z</cp:lastPrinted>
  <dcterms:created xsi:type="dcterms:W3CDTF">2024-10-17T16:03:54Z</dcterms:created>
  <dcterms:modified xsi:type="dcterms:W3CDTF">2026-03-10T19:49:14Z</dcterms:modified>
</cp:coreProperties>
</file>